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04 - 002732-21 - Apoio técnicos especializados em TI\07 PLANILHA CORRIGIDA AUXÍLIO ALIMENTAÇÃO\"/>
    </mc:Choice>
  </mc:AlternateContent>
  <xr:revisionPtr revIDLastSave="0" documentId="8_{B577F91E-14B0-40B9-80BA-592C40D172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x I Planilha de custos" sheetId="1" r:id="rId1"/>
    <sheet name="Anx II- Encargos Sociais" sheetId="2" r:id="rId2"/>
    <sheet name="Anx III - Horas, VT,VR, " sheetId="3" r:id="rId3"/>
    <sheet name="Anx IV - Cálculo Cobertur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7" i="1"/>
  <c r="G19" i="3"/>
  <c r="C19" i="3"/>
  <c r="B19" i="3"/>
  <c r="F16" i="4" l="1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F11" i="4"/>
  <c r="E11" i="4"/>
  <c r="D11" i="4"/>
  <c r="F10" i="4"/>
  <c r="E10" i="4"/>
  <c r="D10" i="4"/>
  <c r="W59" i="3"/>
  <c r="W60" i="3" s="1"/>
  <c r="A41" i="3"/>
  <c r="A40" i="3"/>
  <c r="A39" i="3"/>
  <c r="A38" i="3"/>
  <c r="A37" i="3"/>
  <c r="A36" i="3"/>
  <c r="A35" i="3"/>
  <c r="J31" i="3"/>
  <c r="B31" i="3"/>
  <c r="C31" i="3" s="1"/>
  <c r="A31" i="3"/>
  <c r="J30" i="3"/>
  <c r="B30" i="3"/>
  <c r="C30" i="3" s="1"/>
  <c r="A30" i="3"/>
  <c r="J29" i="3"/>
  <c r="B29" i="3"/>
  <c r="C29" i="3" s="1"/>
  <c r="A29" i="3"/>
  <c r="J28" i="3"/>
  <c r="B28" i="3"/>
  <c r="C28" i="3" s="1"/>
  <c r="A28" i="3"/>
  <c r="J27" i="3"/>
  <c r="B27" i="3"/>
  <c r="C27" i="3" s="1"/>
  <c r="A27" i="3"/>
  <c r="J26" i="3"/>
  <c r="B26" i="3"/>
  <c r="C26" i="3" s="1"/>
  <c r="A26" i="3"/>
  <c r="J25" i="3"/>
  <c r="B25" i="3"/>
  <c r="C25" i="3" s="1"/>
  <c r="A25" i="3"/>
  <c r="G20" i="3"/>
  <c r="D25" i="3" s="1"/>
  <c r="L6" i="3"/>
  <c r="K35" i="2"/>
  <c r="J35" i="2"/>
  <c r="D31" i="2"/>
  <c r="K30" i="2"/>
  <c r="J29" i="2"/>
  <c r="J31" i="2" s="1"/>
  <c r="E20" i="2"/>
  <c r="K34" i="2" s="1"/>
  <c r="D20" i="2"/>
  <c r="J34" i="2" s="1"/>
  <c r="E19" i="2"/>
  <c r="D19" i="2"/>
  <c r="J30" i="2" s="1"/>
  <c r="E18" i="2"/>
  <c r="K29" i="2" s="1"/>
  <c r="K31" i="2" s="1"/>
  <c r="D18" i="2"/>
  <c r="K14" i="2"/>
  <c r="M9" i="4" s="1"/>
  <c r="D13" i="2"/>
  <c r="D15" i="2" s="1"/>
  <c r="K9" i="2"/>
  <c r="J9" i="2"/>
  <c r="J14" i="2" s="1"/>
  <c r="N24" i="1"/>
  <c r="J24" i="1"/>
  <c r="N23" i="1"/>
  <c r="J23" i="1"/>
  <c r="N22" i="1"/>
  <c r="J22" i="1"/>
  <c r="N21" i="1"/>
  <c r="J21" i="1"/>
  <c r="N20" i="1"/>
  <c r="J20" i="1"/>
  <c r="N19" i="1"/>
  <c r="J19" i="1"/>
  <c r="N18" i="1"/>
  <c r="J18" i="1"/>
  <c r="Q16" i="1"/>
  <c r="O14" i="1"/>
  <c r="N26" i="1" s="1"/>
  <c r="P26" i="1" s="1"/>
  <c r="Q26" i="1" s="1"/>
  <c r="I13" i="1"/>
  <c r="J13" i="1" s="1"/>
  <c r="L6" i="1"/>
  <c r="M18" i="1" s="1"/>
  <c r="E31" i="3" l="1"/>
  <c r="F31" i="3" s="1"/>
  <c r="E27" i="3"/>
  <c r="F27" i="3" s="1"/>
  <c r="E28" i="3"/>
  <c r="F28" i="3" s="1"/>
  <c r="K27" i="2"/>
  <c r="K33" i="2" s="1"/>
  <c r="K36" i="2" s="1"/>
  <c r="G9" i="4"/>
  <c r="J27" i="2"/>
  <c r="J33" i="2" s="1"/>
  <c r="J36" i="2" s="1"/>
  <c r="D25" i="2"/>
  <c r="D33" i="2" s="1"/>
  <c r="D34" i="2" s="1"/>
  <c r="D36" i="2" s="1"/>
  <c r="F6" i="1" s="1"/>
  <c r="P16" i="1"/>
  <c r="E25" i="3"/>
  <c r="F25" i="3" s="1"/>
  <c r="E29" i="3"/>
  <c r="F29" i="3" s="1"/>
  <c r="E30" i="3"/>
  <c r="F30" i="3" s="1"/>
  <c r="G25" i="3"/>
  <c r="M6" i="3"/>
  <c r="N6" i="3" s="1"/>
  <c r="O6" i="3" s="1"/>
  <c r="D35" i="3"/>
  <c r="E26" i="3"/>
  <c r="F26" i="3" s="1"/>
  <c r="E25" i="2"/>
  <c r="H25" i="3" l="1"/>
  <c r="F35" i="3" s="1"/>
  <c r="I16" i="4"/>
  <c r="I15" i="4"/>
  <c r="I14" i="4"/>
  <c r="I13" i="4"/>
  <c r="I12" i="4"/>
  <c r="I11" i="4"/>
  <c r="I10" i="4"/>
  <c r="F12" i="1"/>
  <c r="G12" i="1" s="1"/>
  <c r="F10" i="1"/>
  <c r="G10" i="1" s="1"/>
  <c r="F8" i="1"/>
  <c r="G8" i="1" s="1"/>
  <c r="F13" i="1"/>
  <c r="G13" i="1" s="1"/>
  <c r="K13" i="1" s="1"/>
  <c r="F11" i="1"/>
  <c r="G11" i="1" s="1"/>
  <c r="F9" i="1"/>
  <c r="G9" i="1" s="1"/>
  <c r="F7" i="1"/>
  <c r="G7" i="1" s="1"/>
  <c r="L18" i="1"/>
  <c r="E33" i="2"/>
  <c r="E34" i="2" s="1"/>
  <c r="E36" i="2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E41" i="3"/>
  <c r="E37" i="3"/>
  <c r="E40" i="3"/>
  <c r="E36" i="3"/>
  <c r="E38" i="3"/>
  <c r="E39" i="3"/>
  <c r="E35" i="3"/>
  <c r="H30" i="3"/>
  <c r="F40" i="3" s="1"/>
  <c r="H28" i="3"/>
  <c r="F38" i="3" s="1"/>
  <c r="H27" i="3"/>
  <c r="F37" i="3" s="1"/>
  <c r="H26" i="3"/>
  <c r="F36" i="3" s="1"/>
  <c r="H29" i="3"/>
  <c r="F39" i="3" s="1"/>
  <c r="H31" i="3"/>
  <c r="F41" i="3" s="1"/>
  <c r="G35" i="3" l="1"/>
  <c r="H35" i="3" s="1"/>
  <c r="I7" i="1" s="1"/>
  <c r="J7" i="1" s="1"/>
  <c r="G40" i="3"/>
  <c r="H40" i="3" s="1"/>
  <c r="J15" i="4" s="1"/>
  <c r="K15" i="4" s="1"/>
  <c r="L15" i="4" s="1"/>
  <c r="G38" i="3"/>
  <c r="H38" i="3" s="1"/>
  <c r="J13" i="4" s="1"/>
  <c r="K13" i="4" s="1"/>
  <c r="L13" i="4" s="1"/>
  <c r="G39" i="3"/>
  <c r="H39" i="3" s="1"/>
  <c r="J14" i="4" s="1"/>
  <c r="K14" i="4" s="1"/>
  <c r="L14" i="4" s="1"/>
  <c r="G37" i="3"/>
  <c r="H37" i="3" s="1"/>
  <c r="J12" i="4" s="1"/>
  <c r="K12" i="4" s="1"/>
  <c r="L12" i="4" s="1"/>
  <c r="G14" i="1"/>
  <c r="G41" i="3"/>
  <c r="H41" i="3" s="1"/>
  <c r="J16" i="4" s="1"/>
  <c r="K16" i="4" s="1"/>
  <c r="L16" i="4" s="1"/>
  <c r="G36" i="3"/>
  <c r="H36" i="3" s="1"/>
  <c r="O22" i="1"/>
  <c r="O21" i="1"/>
  <c r="O23" i="1"/>
  <c r="O19" i="1"/>
  <c r="O20" i="1"/>
  <c r="O18" i="1"/>
  <c r="O24" i="1"/>
  <c r="L13" i="1"/>
  <c r="M13" i="1" s="1"/>
  <c r="I8" i="1" l="1"/>
  <c r="J8" i="1" s="1"/>
  <c r="K8" i="1" s="1"/>
  <c r="L8" i="1" s="1"/>
  <c r="M8" i="1" s="1"/>
  <c r="J10" i="4"/>
  <c r="K10" i="4" s="1"/>
  <c r="L10" i="4" s="1"/>
  <c r="M10" i="4" s="1"/>
  <c r="N10" i="4" s="1"/>
  <c r="O10" i="4" s="1"/>
  <c r="M13" i="4"/>
  <c r="N13" i="4" s="1"/>
  <c r="O13" i="4" s="1"/>
  <c r="M16" i="4"/>
  <c r="N16" i="4" s="1"/>
  <c r="O16" i="4" s="1"/>
  <c r="M12" i="4"/>
  <c r="N12" i="4" s="1"/>
  <c r="O12" i="4" s="1"/>
  <c r="M14" i="4"/>
  <c r="N14" i="4" s="1"/>
  <c r="O14" i="4" s="1"/>
  <c r="P17" i="1"/>
  <c r="I11" i="1"/>
  <c r="J11" i="1" s="1"/>
  <c r="K11" i="1" s="1"/>
  <c r="I9" i="1"/>
  <c r="J9" i="1" s="1"/>
  <c r="K9" i="1" s="1"/>
  <c r="J11" i="4"/>
  <c r="K11" i="4" s="1"/>
  <c r="L11" i="4" s="1"/>
  <c r="I12" i="1"/>
  <c r="J12" i="1" s="1"/>
  <c r="K12" i="1" s="1"/>
  <c r="I10" i="1"/>
  <c r="J10" i="1" s="1"/>
  <c r="K10" i="1" s="1"/>
  <c r="M15" i="4"/>
  <c r="N15" i="4" s="1"/>
  <c r="O15" i="4" s="1"/>
  <c r="L31" i="3"/>
  <c r="N31" i="3" s="1"/>
  <c r="P13" i="1"/>
  <c r="Q13" i="1" s="1"/>
  <c r="N13" i="1"/>
  <c r="K7" i="1"/>
  <c r="L26" i="3" l="1"/>
  <c r="N26" i="3" s="1"/>
  <c r="P8" i="1"/>
  <c r="Q8" i="1" s="1"/>
  <c r="N8" i="1"/>
  <c r="K14" i="1"/>
  <c r="L7" i="1"/>
  <c r="M7" i="1" s="1"/>
  <c r="L11" i="1"/>
  <c r="M11" i="1" s="1"/>
  <c r="J14" i="1"/>
  <c r="Q17" i="1"/>
  <c r="Q27" i="1" s="1"/>
  <c r="P27" i="1"/>
  <c r="M11" i="4"/>
  <c r="N11" i="4" s="1"/>
  <c r="O11" i="4" s="1"/>
  <c r="L12" i="1"/>
  <c r="M12" i="1" s="1"/>
  <c r="L10" i="1"/>
  <c r="M10" i="1" s="1"/>
  <c r="L9" i="1"/>
  <c r="M9" i="1" s="1"/>
  <c r="P9" i="1" l="1"/>
  <c r="Q9" i="1" s="1"/>
  <c r="L27" i="3"/>
  <c r="N27" i="3" s="1"/>
  <c r="N9" i="1"/>
  <c r="L29" i="3"/>
  <c r="N29" i="3" s="1"/>
  <c r="P11" i="1"/>
  <c r="Q11" i="1" s="1"/>
  <c r="N11" i="1"/>
  <c r="L30" i="3"/>
  <c r="N30" i="3" s="1"/>
  <c r="P12" i="1"/>
  <c r="Q12" i="1" s="1"/>
  <c r="N12" i="1"/>
  <c r="P10" i="1"/>
  <c r="Q10" i="1" s="1"/>
  <c r="N10" i="1"/>
  <c r="L28" i="3"/>
  <c r="N28" i="3" s="1"/>
  <c r="L25" i="3"/>
  <c r="N25" i="3" s="1"/>
  <c r="P7" i="1"/>
  <c r="Q7" i="1" s="1"/>
  <c r="N7" i="1"/>
  <c r="Q14" i="1" l="1"/>
  <c r="P14" i="1" s="1"/>
  <c r="P29" i="1" s="1"/>
  <c r="Q29" i="1" s="1"/>
</calcChain>
</file>

<file path=xl/sharedStrings.xml><?xml version="1.0" encoding="utf-8"?>
<sst xmlns="http://schemas.openxmlformats.org/spreadsheetml/2006/main" count="230" uniqueCount="185">
  <si>
    <t>Posto de Trabalho</t>
  </si>
  <si>
    <t>Carga Horária semanal do Posto
 de Trabalho</t>
  </si>
  <si>
    <r>
      <rPr>
        <b/>
        <sz val="12"/>
        <color indexed="8"/>
        <rFont val="Arial"/>
        <family val="2"/>
      </rPr>
      <t xml:space="preserve">Convenções Coletivas de Trabalho 
</t>
    </r>
    <r>
      <rPr>
        <b/>
        <sz val="12"/>
        <color indexed="12"/>
        <rFont val="Arial"/>
        <family val="2"/>
      </rPr>
      <t>(poderão ser alteradas)</t>
    </r>
    <r>
      <rPr>
        <b/>
        <sz val="12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Vigência
</t>
    </r>
    <r>
      <rPr>
        <b/>
        <sz val="12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Data-base </t>
    </r>
  </si>
  <si>
    <t>MONTANTE "A"</t>
  </si>
  <si>
    <t>MONTANTE "B"</t>
  </si>
  <si>
    <t>Somatório
Montantes
"A" e "B"</t>
  </si>
  <si>
    <t>CTIL
Calculado sobre o somatório dos Montantes
"A" e "B"</t>
  </si>
  <si>
    <t>Total unitário mensal do posto de trabalho</t>
  </si>
  <si>
    <t>Total unitário do 
posto de trabalho no período</t>
  </si>
  <si>
    <t>Quantidade de profissionais por posto de trabalho</t>
  </si>
  <si>
    <t>Total mensal estimado da Contratação</t>
  </si>
  <si>
    <t>Total estimado da contratação para o período</t>
  </si>
  <si>
    <t>Salário</t>
  </si>
  <si>
    <t>Encargos Sociais</t>
  </si>
  <si>
    <t>Total unitário
montante
"A"</t>
  </si>
  <si>
    <t>Valor mensal do Auxílio-alimentação</t>
  </si>
  <si>
    <t>Valor do auxílio-transporte mensal - parte da empresa</t>
  </si>
  <si>
    <t>Total unitário
montante
"B"</t>
  </si>
  <si>
    <t>meses</t>
  </si>
  <si>
    <t>40 Horas semanais</t>
  </si>
  <si>
    <t>Entre 9h e 20h</t>
  </si>
  <si>
    <t>Engenheiro de software - Fullstack Senior</t>
  </si>
  <si>
    <t>Subtotal 1</t>
  </si>
  <si>
    <r>
      <rPr>
        <b/>
        <sz val="12"/>
        <color indexed="8"/>
        <rFont val="Arial"/>
        <family val="2"/>
      </rPr>
      <t xml:space="preserve">AUXÍLIO MORTE/FUNERAL - RESSARCIMENTO </t>
    </r>
    <r>
      <rPr>
        <b/>
        <sz val="12"/>
        <color indexed="12"/>
        <rFont val="Arial"/>
        <family val="2"/>
      </rPr>
      <t>(Não pode ser alterado pela licitante)</t>
    </r>
  </si>
  <si>
    <t>Quantidade</t>
  </si>
  <si>
    <t>Valor unitário</t>
  </si>
  <si>
    <t>Valor Mensal</t>
  </si>
  <si>
    <t>Valor período</t>
  </si>
  <si>
    <r>
      <rPr>
        <b/>
        <sz val="12"/>
        <color indexed="8"/>
        <rFont val="Arial"/>
        <family val="2"/>
      </rPr>
      <t xml:space="preserve">ADICIONAL POR TEMPO DE SERVIÇO - RESSARCIMENTO </t>
    </r>
    <r>
      <rPr>
        <b/>
        <sz val="12"/>
        <color indexed="12"/>
        <rFont val="Arial"/>
        <family val="2"/>
      </rPr>
      <t>(Não pode ser alterado pela licitante)</t>
    </r>
  </si>
  <si>
    <t>Triênio  Percentual Máximo</t>
  </si>
  <si>
    <t>CTIL</t>
  </si>
  <si>
    <t>Quantidade de Profissionais</t>
  </si>
  <si>
    <t>Valor Mensal por Posto de Trabalho</t>
  </si>
  <si>
    <t>Arquiteto de Software - Master</t>
  </si>
  <si>
    <t>Engenheiro de software - Fullstack Master</t>
  </si>
  <si>
    <t>Data Engineer - Master</t>
  </si>
  <si>
    <t>Platform Engineer - Master</t>
  </si>
  <si>
    <t>Cloud Engineer - Master</t>
  </si>
  <si>
    <r>
      <rPr>
        <b/>
        <sz val="12"/>
        <color indexed="8"/>
        <rFont val="Arial"/>
        <family val="2"/>
      </rPr>
      <t xml:space="preserve">AUXÍLIO SAÚDE  - RESSARCIMENTO </t>
    </r>
    <r>
      <rPr>
        <b/>
        <sz val="12"/>
        <color indexed="12"/>
        <rFont val="Arial"/>
        <family val="2"/>
      </rPr>
      <t>(Valor máximo admitido - pode ser alterado pela licitante em caso de contratação de apólice de menor valor)</t>
    </r>
  </si>
  <si>
    <t>Subtotal 2</t>
  </si>
  <si>
    <t xml:space="preserve">Valor estimado do Contrato </t>
  </si>
  <si>
    <t>Valor mensal</t>
  </si>
  <si>
    <t>Valor total do período</t>
  </si>
  <si>
    <t>PLANILHA DE COMPOSIÇÃO DOS PERCENTUAIS</t>
  </si>
  <si>
    <t xml:space="preserve"> MÁXIMOS DE ENCARGOS SOCIAIS </t>
  </si>
  <si>
    <t>CUSTOS INDIRETOS, TRIBUTOS E LUCRO - CITL</t>
  </si>
  <si>
    <t>Item</t>
  </si>
  <si>
    <t>Título</t>
  </si>
  <si>
    <r>
      <rPr>
        <b/>
        <sz val="9"/>
        <color indexed="8"/>
        <rFont val="Arial"/>
        <family val="2"/>
      </rPr>
      <t xml:space="preserve">R A T /FAP (*)
</t>
    </r>
    <r>
      <rPr>
        <b/>
        <sz val="9"/>
        <color indexed="12"/>
        <rFont val="Arial"/>
        <family val="2"/>
      </rPr>
      <t>PODERÁ SER ALTERADO</t>
    </r>
  </si>
  <si>
    <t>TRIBUTAÇÃO</t>
  </si>
  <si>
    <t>Cumulativa</t>
  </si>
  <si>
    <t>Não Cumulativa</t>
  </si>
  <si>
    <t>Módulo "A"</t>
  </si>
  <si>
    <t>%</t>
  </si>
  <si>
    <t>DESCRIÇÃO</t>
  </si>
  <si>
    <r>
      <rPr>
        <sz val="9"/>
        <color indexed="8"/>
        <rFont val="Arial"/>
        <family val="2"/>
      </rPr>
      <t xml:space="preserve">PREVIDÊNCIA SOCIAL - </t>
    </r>
    <r>
      <rPr>
        <sz val="9"/>
        <color indexed="12"/>
        <rFont val="Arial"/>
        <family val="2"/>
      </rPr>
      <t>PODERÁ SER ALTERADO</t>
    </r>
  </si>
  <si>
    <t>CUSTOS INDIRETOS*</t>
  </si>
  <si>
    <t>A</t>
  </si>
  <si>
    <r>
      <rPr>
        <sz val="9"/>
        <color indexed="8"/>
        <rFont val="Arial"/>
        <family val="2"/>
      </rPr>
      <t>SESI / SESC</t>
    </r>
    <r>
      <rPr>
        <sz val="9"/>
        <color indexed="12"/>
        <rFont val="Arial"/>
        <family val="2"/>
      </rPr>
      <t xml:space="preserve"> -  NÃO PODERÁ SER ALTERADO</t>
    </r>
  </si>
  <si>
    <t>LUCRO*</t>
  </si>
  <si>
    <t>B</t>
  </si>
  <si>
    <r>
      <rPr>
        <sz val="9"/>
        <color indexed="8"/>
        <rFont val="Arial"/>
        <family val="2"/>
      </rPr>
      <t xml:space="preserve">SENAI / SENAC -  </t>
    </r>
    <r>
      <rPr>
        <sz val="9"/>
        <color indexed="12"/>
        <rFont val="Arial"/>
        <family val="2"/>
      </rPr>
      <t>NÃO PODERÁ SER ALTERADO</t>
    </r>
  </si>
  <si>
    <t>TRIBUTOS - SOMATÓRIO:</t>
  </si>
  <si>
    <t>C</t>
  </si>
  <si>
    <r>
      <rPr>
        <sz val="9"/>
        <color indexed="8"/>
        <rFont val="Arial"/>
        <family val="2"/>
      </rPr>
      <t xml:space="preserve">INCRA  -  </t>
    </r>
    <r>
      <rPr>
        <sz val="9"/>
        <color indexed="12"/>
        <rFont val="Arial"/>
        <family val="2"/>
      </rPr>
      <t>NÃO PODERÁ SER ALTERADO</t>
    </r>
  </si>
  <si>
    <t>ISS</t>
  </si>
  <si>
    <r>
      <rPr>
        <sz val="9"/>
        <color indexed="8"/>
        <rFont val="Arial"/>
        <family val="2"/>
      </rPr>
      <t xml:space="preserve">SALÁRIO EDUCAÇÃO  -  </t>
    </r>
    <r>
      <rPr>
        <sz val="9"/>
        <color indexed="12"/>
        <rFont val="Arial"/>
        <family val="2"/>
      </rPr>
      <t>NÃO PODERÁ SER ALTERADO</t>
    </r>
  </si>
  <si>
    <t>COFINS</t>
  </si>
  <si>
    <r>
      <rPr>
        <sz val="9"/>
        <color indexed="8"/>
        <rFont val="Arial"/>
        <family val="2"/>
      </rPr>
      <t xml:space="preserve">F G T S  -  </t>
    </r>
    <r>
      <rPr>
        <sz val="9"/>
        <color indexed="12"/>
        <rFont val="Arial"/>
        <family val="2"/>
      </rPr>
      <t>NÃO PODERÁ SER ALTERADO</t>
    </r>
  </si>
  <si>
    <t>PIS</t>
  </si>
  <si>
    <t>RISCO ACIDENTE DE TRABALHO AJUSTADO (**)</t>
  </si>
  <si>
    <t>CPRB**</t>
  </si>
  <si>
    <r>
      <rPr>
        <sz val="9"/>
        <color indexed="8"/>
        <rFont val="Arial"/>
        <family val="2"/>
      </rPr>
      <t xml:space="preserve">SEBRAE - </t>
    </r>
    <r>
      <rPr>
        <sz val="9"/>
        <color indexed="12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</si>
  <si>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</si>
  <si>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</si>
  <si>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</si>
  <si>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</si>
  <si>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t>1º Ano</t>
  </si>
  <si>
    <t>A partir do 2º ano</t>
  </si>
  <si>
    <r>
      <rPr>
        <sz val="9"/>
        <color indexed="8"/>
        <rFont val="Arial"/>
        <family val="2"/>
      </rPr>
      <t xml:space="preserve">13º SALÁRIO - </t>
    </r>
    <r>
      <rPr>
        <sz val="9"/>
        <color indexed="12"/>
        <rFont val="Arial"/>
        <family val="2"/>
      </rPr>
      <t>NÃO PODERÁ SER ALTERADO (***)</t>
    </r>
  </si>
  <si>
    <t xml:space="preserve">Onde:            </t>
  </si>
  <si>
    <r>
      <rPr>
        <sz val="9"/>
        <color indexed="8"/>
        <rFont val="Arial"/>
        <family val="2"/>
      </rPr>
      <t xml:space="preserve">FÉRIAS - </t>
    </r>
    <r>
      <rPr>
        <sz val="9"/>
        <color indexed="12"/>
        <rFont val="Arial"/>
        <family val="2"/>
      </rPr>
      <t>NÃO PODERÁ SER ALTERADO (***)</t>
    </r>
  </si>
  <si>
    <t>A = Custos indiretos;</t>
  </si>
  <si>
    <r>
      <rPr>
        <sz val="9"/>
        <color indexed="8"/>
        <rFont val="Arial"/>
        <family val="2"/>
      </rPr>
      <t xml:space="preserve">ABONO DE FÉRIAS - </t>
    </r>
    <r>
      <rPr>
        <sz val="9"/>
        <color indexed="12"/>
        <rFont val="Arial"/>
        <family val="2"/>
      </rPr>
      <t>NÃO PODERÁ SER ALTERADO (***)</t>
    </r>
  </si>
  <si>
    <t>B = Lucro; e</t>
  </si>
  <si>
    <t>AUXÍLIO DOENÇA - PODERÁ SER ALTERADO apenas a coluna 1º Ano</t>
  </si>
  <si>
    <t>C = Tributos - somatório</t>
  </si>
  <si>
    <r>
      <rPr>
        <sz val="9"/>
        <color indexed="8"/>
        <rFont val="Arial"/>
        <family val="2"/>
      </rPr>
      <t xml:space="preserve">LICENÇA PATERNIDADE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 xml:space="preserve"> </t>
    </r>
    <r>
      <rPr>
        <sz val="9"/>
        <color indexed="12"/>
        <rFont val="Arial"/>
        <family val="2"/>
      </rPr>
      <t>apenas a coluna 1º Ano</t>
    </r>
  </si>
  <si>
    <t>*Incluem custo com salário, encargos e auxílios do preposto</t>
  </si>
  <si>
    <r>
      <rPr>
        <sz val="9"/>
        <color indexed="8"/>
        <rFont val="Arial"/>
        <family val="2"/>
      </rPr>
      <t xml:space="preserve">FALTAS LEGAIS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 xml:space="preserve"> </t>
    </r>
    <r>
      <rPr>
        <sz val="9"/>
        <color indexed="12"/>
        <rFont val="Arial"/>
        <family val="2"/>
      </rPr>
      <t>apenas a coluna 1º Ano</t>
    </r>
  </si>
  <si>
    <t>**Contribuição Previdenciária sobre a Receita Bruta - lei 12.546/2011</t>
  </si>
  <si>
    <r>
      <rPr>
        <sz val="9"/>
        <color indexed="8"/>
        <rFont val="Arial"/>
        <family val="2"/>
      </rPr>
      <t xml:space="preserve">ACIDENTE DO TRABALHO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 xml:space="preserve"> </t>
    </r>
    <r>
      <rPr>
        <sz val="9"/>
        <color indexed="12"/>
        <rFont val="Arial"/>
        <family val="2"/>
      </rPr>
      <t>apenas a coluna 1º Ano</t>
    </r>
  </si>
  <si>
    <t>Total do Módulo "B"</t>
  </si>
  <si>
    <t>CONTA-DEPÓSITO VINCULADA - BLOQUEADA PARA MOVIMENTAÇÃO</t>
  </si>
  <si>
    <t>Módulo C</t>
  </si>
  <si>
    <r>
      <rPr>
        <sz val="9"/>
        <color indexed="8"/>
        <rFont val="Arial"/>
        <family val="2"/>
      </rPr>
      <t xml:space="preserve">AVISO PRÉVIO INDENIZADO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</si>
  <si>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AVISO PRÉVIO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</si>
  <si>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INDENIZAÇÃO ADICIONAL - </t>
    </r>
    <r>
      <rPr>
        <sz val="9"/>
        <color indexed="12"/>
        <rFont val="Arial"/>
        <family val="2"/>
      </rPr>
      <t>PODERÁ SER ALTERADO</t>
    </r>
  </si>
  <si>
    <t>13º salário</t>
  </si>
  <si>
    <r>
      <rPr>
        <sz val="9"/>
        <color indexed="8"/>
        <rFont val="Arial"/>
        <family val="2"/>
      </rPr>
      <t xml:space="preserve">FGTS RECISÕES SEM JUSTA CAUSA - </t>
    </r>
    <r>
      <rPr>
        <sz val="9"/>
        <color indexed="12"/>
        <rFont val="Arial"/>
        <family val="2"/>
      </rPr>
      <t>PODERÁ SER ALTERADO</t>
    </r>
  </si>
  <si>
    <t>Férias</t>
  </si>
  <si>
    <t>Total do Módulo "C"</t>
  </si>
  <si>
    <t>Subtotal</t>
  </si>
  <si>
    <t>Módulo D</t>
  </si>
  <si>
    <t>INCIDÊNCIA DE A SOBRE B</t>
  </si>
  <si>
    <t>Incidência Módulo "A"</t>
  </si>
  <si>
    <t>Total do Módulo "D"</t>
  </si>
  <si>
    <t>Abono férias</t>
  </si>
  <si>
    <t>TOTAL DOS ENCARGOS SOCIAIS</t>
  </si>
  <si>
    <t>FGTS Recisões sem Justa Causa</t>
  </si>
  <si>
    <t>A CONTINGENCIAR</t>
  </si>
  <si>
    <t>(*) Risco Acidente de Trabalho / Fator Acidentário de Prevenção</t>
  </si>
  <si>
    <t>(**) Variação das alíquotas de 0,5% a 6% de RAT, devido a incidência do FAP</t>
  </si>
  <si>
    <t>(***) Em caso de ausência de cobertura de férias, deverá ser alterado o divisor para 11 meses, à partir do segundo ano do contrato</t>
  </si>
  <si>
    <t>AUXÍLIO-ALIMENTAÇÃO</t>
  </si>
  <si>
    <t>Período</t>
  </si>
  <si>
    <t>Dias da Semana</t>
  </si>
  <si>
    <t>Quantidade de horas úteis por mês</t>
  </si>
  <si>
    <t>Valor Unitário</t>
  </si>
  <si>
    <t>PAT (% mediante comprovação)</t>
  </si>
  <si>
    <t>Dias Úteis</t>
  </si>
  <si>
    <t>Total período</t>
  </si>
  <si>
    <t>Total Mensal</t>
  </si>
  <si>
    <t>Nº de Segundas a Quintas</t>
  </si>
  <si>
    <t>Nº de Sextas</t>
  </si>
  <si>
    <t>Nº de Sábados</t>
  </si>
  <si>
    <t>Nº de Domingos e Feriados</t>
  </si>
  <si>
    <t>Nº de Feriados Forenses</t>
  </si>
  <si>
    <t>40 horas semanais</t>
  </si>
  <si>
    <t>Todos</t>
  </si>
  <si>
    <t>fev/2022</t>
  </si>
  <si>
    <t>mar/2022</t>
  </si>
  <si>
    <t>abr/2022</t>
  </si>
  <si>
    <t>mai/2022</t>
  </si>
  <si>
    <t>jun/2022</t>
  </si>
  <si>
    <t>jul/2022</t>
  </si>
  <si>
    <t>ago/2022</t>
  </si>
  <si>
    <t>set/2022</t>
  </si>
  <si>
    <t>Total de dias úteis</t>
  </si>
  <si>
    <t>Total de horas</t>
  </si>
  <si>
    <t>Total de dias úteis no período</t>
  </si>
  <si>
    <t>AUXÍLIO-TRANSPORTE</t>
  </si>
  <si>
    <t>CÁLCULO DO VALOR DA HORA</t>
  </si>
  <si>
    <t>Posto de trabalho</t>
  </si>
  <si>
    <t>12 meses (12 * salário)</t>
  </si>
  <si>
    <t>Dias úteis no Período</t>
  </si>
  <si>
    <t>Resultado (12 meses /dias úteis)</t>
  </si>
  <si>
    <t>6% * resultado</t>
  </si>
  <si>
    <t>Dias Trabalhados no Período</t>
  </si>
  <si>
    <t>Participação funcionário no período</t>
  </si>
  <si>
    <t>Postos de Trabalho</t>
  </si>
  <si>
    <t>Divisor</t>
  </si>
  <si>
    <t>Valor da Hora</t>
  </si>
  <si>
    <t>40 horas</t>
  </si>
  <si>
    <r>
      <rPr>
        <sz val="10"/>
        <color indexed="8"/>
        <rFont val="Arial"/>
        <family val="2"/>
      </rPr>
      <t>200</t>
    </r>
  </si>
  <si>
    <t>Valor unitário do vale*</t>
  </si>
  <si>
    <t>Quantidade diária</t>
  </si>
  <si>
    <t>Dias úteis no ano</t>
  </si>
  <si>
    <t>Resultado</t>
  </si>
  <si>
    <t>Participação funcionário (anual)</t>
  </si>
  <si>
    <t>Participação empresa no período</t>
  </si>
  <si>
    <t>participação empresa (mensal)</t>
  </si>
  <si>
    <t>OBSERVAÇÕES:</t>
  </si>
  <si>
    <r>
      <rPr>
        <sz val="10"/>
        <color indexed="8"/>
        <rFont val="Arial"/>
        <family val="2"/>
      </rPr>
      <t xml:space="preserve">Para o valor Unitário do Vale Transporte, foi levado em consideração o preço praticado em Brasília, devendo a empresa aplicar o valor correspondente à sua realidade, no entanto, deverá ser observada a metodologia de cálculo constante na planilha de formação de preços, cuja comprovação deverá ser comprovada quando do encaminhamento da proposta vencedora.
</t>
    </r>
    <r>
      <rPr>
        <u/>
        <sz val="10"/>
        <color indexed="20"/>
        <rFont val="Arial"/>
        <family val="2"/>
      </rPr>
      <t>http://semob.df.gov.br/tarifas/</t>
    </r>
  </si>
  <si>
    <t>CÁLCULO DO PROFISSIONAL DE COBERTURA</t>
  </si>
  <si>
    <t>Somatório Montantes 
"A" e "B"</t>
  </si>
  <si>
    <t>CITL
Calculado sobre o somatório dos Montantes 
"A" e "B"</t>
  </si>
  <si>
    <t>Valor da hora do cobertura</t>
  </si>
  <si>
    <t>13º Salário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</si>
  <si>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</si>
  <si>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</si>
  <si>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</si>
  <si>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</si>
  <si>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</si>
  <si>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</si>
  <si>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Data Scientist - Master</t>
  </si>
  <si>
    <t>PLANILHA DE FORMAÇÃO DE PREÇOS - PERÍODO  03/02/2022 a 02/02/2023</t>
  </si>
  <si>
    <t>PLANILHA DE HORAS ANUAIS
03/02/2022 a 02/02/2023</t>
  </si>
  <si>
    <t>CCT SINDPD/DF 
2021/2022
De 01/05/2021 até 30/04/2022
_x000B_Data Base 01/05</t>
  </si>
  <si>
    <t>out/2022</t>
  </si>
  <si>
    <t>nov/2022</t>
  </si>
  <si>
    <t>dez/2022</t>
  </si>
  <si>
    <t>jan/2023</t>
  </si>
  <si>
    <t>fev/2023</t>
  </si>
  <si>
    <t>Engenheiro de software - Fullstack Sênior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</si>
</sst>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$ &quot;#,##0.00"/>
    <numFmt numFmtId="165" formatCode="&quot; &quot;* #,##0.00&quot; &quot;;&quot;-&quot;* #,##0.00&quot; &quot;;&quot; &quot;* &quot;-&quot;??&quot; &quot;"/>
    <numFmt numFmtId="166" formatCode="[$R$-416]&quot; &quot;#,##0.00"/>
    <numFmt numFmtId="167" formatCode="0.000"/>
  </numFmts>
  <fonts count="22" x14ac:knownFonts="1">
    <font>
      <sz val="11"/>
      <color indexed="8"/>
      <name val="Calibri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8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color indexed="12"/>
      <name val="Arial"/>
      <family val="2"/>
    </font>
    <font>
      <b/>
      <sz val="10"/>
      <color indexed="8"/>
      <name val="Arial"/>
      <family val="2"/>
    </font>
    <font>
      <sz val="9"/>
      <color indexed="12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u/>
      <sz val="10"/>
      <color indexed="2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8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13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9"/>
      </bottom>
      <diagonal/>
    </border>
    <border>
      <left/>
      <right/>
      <top style="thin">
        <color indexed="18"/>
      </top>
      <bottom style="thin">
        <color indexed="19"/>
      </bottom>
      <diagonal/>
    </border>
    <border>
      <left/>
      <right style="thin">
        <color indexed="18"/>
      </right>
      <top style="thin">
        <color indexed="18"/>
      </top>
      <bottom style="thin">
        <color indexed="1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9"/>
      </bottom>
      <diagonal/>
    </border>
    <border>
      <left style="thin">
        <color indexed="1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9"/>
      </left>
      <right/>
      <top style="thin">
        <color indexed="19"/>
      </top>
      <bottom/>
      <diagonal/>
    </border>
    <border>
      <left/>
      <right/>
      <top style="thin">
        <color indexed="19"/>
      </top>
      <bottom/>
      <diagonal/>
    </border>
    <border>
      <left/>
      <right style="thin">
        <color indexed="19"/>
      </right>
      <top style="thin">
        <color indexed="19"/>
      </top>
      <bottom/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9"/>
      </left>
      <right/>
      <top/>
      <bottom style="thin">
        <color indexed="19"/>
      </bottom>
      <diagonal/>
    </border>
    <border>
      <left/>
      <right/>
      <top/>
      <bottom style="thin">
        <color indexed="19"/>
      </bottom>
      <diagonal/>
    </border>
    <border>
      <left/>
      <right style="thin">
        <color indexed="19"/>
      </right>
      <top/>
      <bottom style="thin">
        <color indexed="19"/>
      </bottom>
      <diagonal/>
    </border>
    <border>
      <left style="thin">
        <color indexed="10"/>
      </left>
      <right style="thin">
        <color indexed="10"/>
      </right>
      <top style="thin">
        <color indexed="19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333">
    <xf numFmtId="0" fontId="0" fillId="0" borderId="0" xfId="0" applyFont="1" applyAlignment="1"/>
    <xf numFmtId="0" fontId="0" fillId="0" borderId="0" xfId="0" applyNumberFormat="1" applyFont="1" applyAlignme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0" fillId="2" borderId="9" xfId="0" applyFont="1" applyFill="1" applyBorder="1" applyAlignment="1"/>
    <xf numFmtId="0" fontId="2" fillId="3" borderId="5" xfId="0" applyNumberFormat="1" applyFont="1" applyFill="1" applyBorder="1" applyAlignment="1">
      <alignment horizontal="center" vertical="center" wrapText="1"/>
    </xf>
    <xf numFmtId="10" fontId="2" fillId="3" borderId="5" xfId="0" applyNumberFormat="1" applyFont="1" applyFill="1" applyBorder="1" applyAlignment="1">
      <alignment horizontal="center" vertical="center"/>
    </xf>
    <xf numFmtId="10" fontId="2" fillId="3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justify" vertical="center" readingOrder="1"/>
    </xf>
    <xf numFmtId="164" fontId="3" fillId="2" borderId="18" xfId="0" applyNumberFormat="1" applyFont="1" applyFill="1" applyBorder="1" applyAlignment="1">
      <alignment horizontal="right" vertical="center" wrapText="1"/>
    </xf>
    <xf numFmtId="164" fontId="3" fillId="2" borderId="19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1" fontId="5" fillId="2" borderId="18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/>
    <xf numFmtId="0" fontId="3" fillId="2" borderId="10" xfId="0" applyFont="1" applyFill="1" applyBorder="1" applyAlignment="1"/>
    <xf numFmtId="4" fontId="3" fillId="2" borderId="10" xfId="0" applyNumberFormat="1" applyFont="1" applyFill="1" applyBorder="1" applyAlignment="1"/>
    <xf numFmtId="4" fontId="3" fillId="2" borderId="5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right" vertical="center"/>
    </xf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vertical="center"/>
    </xf>
    <xf numFmtId="3" fontId="2" fillId="2" borderId="26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right" vertical="center"/>
    </xf>
    <xf numFmtId="4" fontId="0" fillId="2" borderId="10" xfId="0" applyNumberFormat="1" applyFont="1" applyFill="1" applyBorder="1" applyAlignment="1"/>
    <xf numFmtId="0" fontId="0" fillId="2" borderId="28" xfId="0" applyFont="1" applyFill="1" applyBorder="1" applyAlignment="1"/>
    <xf numFmtId="49" fontId="6" fillId="2" borderId="5" xfId="0" applyNumberFormat="1" applyFont="1" applyFill="1" applyBorder="1" applyAlignment="1">
      <alignment horizontal="center" vertical="center" wrapText="1"/>
    </xf>
    <xf numFmtId="0" fontId="0" fillId="2" borderId="10" xfId="0" applyFont="1" applyFill="1" applyBorder="1" applyAlignment="1"/>
    <xf numFmtId="3" fontId="3" fillId="2" borderId="5" xfId="0" applyNumberFormat="1" applyFont="1" applyFill="1" applyBorder="1" applyAlignment="1">
      <alignment horizontal="center" vertical="center" wrapText="1"/>
    </xf>
    <xf numFmtId="49" fontId="7" fillId="2" borderId="33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5" fillId="2" borderId="33" xfId="0" applyNumberFormat="1" applyFont="1" applyFill="1" applyBorder="1" applyAlignment="1">
      <alignment horizontal="justify" vertical="center" readingOrder="1"/>
    </xf>
    <xf numFmtId="166" fontId="5" fillId="2" borderId="5" xfId="0" applyNumberFormat="1" applyFont="1" applyFill="1" applyBorder="1" applyAlignment="1">
      <alignment vertical="center"/>
    </xf>
    <xf numFmtId="0" fontId="5" fillId="2" borderId="5" xfId="0" applyNumberFormat="1" applyFont="1" applyFill="1" applyBorder="1" applyAlignment="1">
      <alignment horizontal="center" vertical="center"/>
    </xf>
    <xf numFmtId="166" fontId="5" fillId="2" borderId="5" xfId="0" applyNumberFormat="1" applyFont="1" applyFill="1" applyBorder="1" applyAlignment="1">
      <alignment horizontal="center" vertical="center"/>
    </xf>
    <xf numFmtId="0" fontId="0" fillId="2" borderId="35" xfId="0" applyFont="1" applyFill="1" applyBorder="1" applyAlignment="1"/>
    <xf numFmtId="164" fontId="2" fillId="2" borderId="5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horizontal="right" vertical="center"/>
    </xf>
    <xf numFmtId="0" fontId="0" fillId="2" borderId="36" xfId="0" applyFont="1" applyFill="1" applyBorder="1" applyAlignment="1"/>
    <xf numFmtId="0" fontId="0" fillId="2" borderId="37" xfId="0" applyFont="1" applyFill="1" applyBorder="1" applyAlignment="1"/>
    <xf numFmtId="4" fontId="8" fillId="2" borderId="37" xfId="0" applyNumberFormat="1" applyFont="1" applyFill="1" applyBorder="1" applyAlignment="1"/>
    <xf numFmtId="0" fontId="0" fillId="2" borderId="38" xfId="0" applyFont="1" applyFill="1" applyBorder="1" applyAlignment="1"/>
    <xf numFmtId="0" fontId="0" fillId="2" borderId="39" xfId="0" applyFont="1" applyFill="1" applyBorder="1" applyAlignment="1"/>
    <xf numFmtId="165" fontId="0" fillId="2" borderId="38" xfId="0" applyNumberFormat="1" applyFont="1" applyFill="1" applyBorder="1" applyAlignment="1"/>
    <xf numFmtId="164" fontId="0" fillId="2" borderId="38" xfId="0" applyNumberFormat="1" applyFont="1" applyFill="1" applyBorder="1" applyAlignment="1"/>
    <xf numFmtId="0" fontId="0" fillId="2" borderId="40" xfId="0" applyFont="1" applyFill="1" applyBorder="1" applyAlignment="1"/>
    <xf numFmtId="0" fontId="0" fillId="2" borderId="41" xfId="0" applyFont="1" applyFill="1" applyBorder="1" applyAlignment="1"/>
    <xf numFmtId="10" fontId="0" fillId="2" borderId="41" xfId="0" applyNumberFormat="1" applyFont="1" applyFill="1" applyBorder="1" applyAlignment="1"/>
    <xf numFmtId="0" fontId="0" fillId="2" borderId="42" xfId="0" applyFont="1" applyFill="1" applyBorder="1" applyAlignment="1"/>
    <xf numFmtId="0" fontId="0" fillId="0" borderId="0" xfId="0" applyNumberFormat="1" applyFont="1" applyAlignment="1"/>
    <xf numFmtId="0" fontId="0" fillId="2" borderId="43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0" fillId="2" borderId="38" xfId="0" applyFont="1" applyFill="1" applyBorder="1" applyAlignment="1"/>
    <xf numFmtId="0" fontId="11" fillId="2" borderId="38" xfId="0" applyFont="1" applyFill="1" applyBorder="1" applyAlignment="1"/>
    <xf numFmtId="0" fontId="0" fillId="2" borderId="45" xfId="0" applyFont="1" applyFill="1" applyBorder="1" applyAlignment="1"/>
    <xf numFmtId="0" fontId="10" fillId="2" borderId="12" xfId="0" applyFont="1" applyFill="1" applyBorder="1" applyAlignment="1"/>
    <xf numFmtId="9" fontId="9" fillId="3" borderId="46" xfId="0" applyNumberFormat="1" applyFont="1" applyFill="1" applyBorder="1" applyAlignment="1">
      <alignment horizontal="center" vertical="center" wrapText="1"/>
    </xf>
    <xf numFmtId="167" fontId="9" fillId="3" borderId="46" xfId="0" applyNumberFormat="1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/>
    </xf>
    <xf numFmtId="49" fontId="13" fillId="2" borderId="5" xfId="0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justify"/>
    </xf>
    <xf numFmtId="10" fontId="10" fillId="2" borderId="5" xfId="0" applyNumberFormat="1" applyFont="1" applyFill="1" applyBorder="1" applyAlignment="1">
      <alignment horizontal="right"/>
    </xf>
    <xf numFmtId="10" fontId="13" fillId="2" borderId="5" xfId="0" applyNumberFormat="1" applyFont="1" applyFill="1" applyBorder="1" applyAlignment="1">
      <alignment horizontal="center"/>
    </xf>
    <xf numFmtId="49" fontId="13" fillId="2" borderId="6" xfId="0" applyNumberFormat="1" applyFont="1" applyFill="1" applyBorder="1" applyAlignment="1"/>
    <xf numFmtId="0" fontId="13" fillId="2" borderId="7" xfId="0" applyFont="1" applyFill="1" applyBorder="1" applyAlignment="1"/>
    <xf numFmtId="0" fontId="0" fillId="2" borderId="11" xfId="0" applyFont="1" applyFill="1" applyBorder="1" applyAlignment="1"/>
    <xf numFmtId="10" fontId="6" fillId="2" borderId="5" xfId="0" applyNumberFormat="1" applyFont="1" applyFill="1" applyBorder="1" applyAlignment="1">
      <alignment horizontal="center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10" fontId="9" fillId="5" borderId="5" xfId="0" applyNumberFormat="1" applyFont="1" applyFill="1" applyBorder="1" applyAlignment="1">
      <alignment horizontal="center" vertical="center" wrapText="1"/>
    </xf>
    <xf numFmtId="2" fontId="10" fillId="2" borderId="12" xfId="0" applyNumberFormat="1" applyFont="1" applyFill="1" applyBorder="1" applyAlignment="1"/>
    <xf numFmtId="0" fontId="13" fillId="2" borderId="37" xfId="0" applyFont="1" applyFill="1" applyBorder="1" applyAlignment="1">
      <alignment horizontal="center"/>
    </xf>
    <xf numFmtId="10" fontId="13" fillId="2" borderId="7" xfId="0" applyNumberFormat="1" applyFont="1" applyFill="1" applyBorder="1" applyAlignment="1"/>
    <xf numFmtId="49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10" fontId="10" fillId="2" borderId="5" xfId="0" applyNumberFormat="1" applyFont="1" applyFill="1" applyBorder="1" applyAlignment="1"/>
    <xf numFmtId="49" fontId="0" fillId="2" borderId="9" xfId="0" applyNumberFormat="1" applyFont="1" applyFill="1" applyBorder="1" applyAlignment="1">
      <alignment vertical="center"/>
    </xf>
    <xf numFmtId="0" fontId="13" fillId="2" borderId="38" xfId="0" applyFont="1" applyFill="1" applyBorder="1" applyAlignment="1">
      <alignment horizontal="right"/>
    </xf>
    <xf numFmtId="49" fontId="0" fillId="2" borderId="9" xfId="0" applyNumberFormat="1" applyFont="1" applyFill="1" applyBorder="1" applyAlignment="1"/>
    <xf numFmtId="49" fontId="14" fillId="2" borderId="5" xfId="0" applyNumberFormat="1" applyFont="1" applyFill="1" applyBorder="1" applyAlignment="1">
      <alignment horizontal="justify"/>
    </xf>
    <xf numFmtId="49" fontId="0" fillId="2" borderId="48" xfId="0" applyNumberFormat="1" applyFont="1" applyFill="1" applyBorder="1" applyAlignment="1"/>
    <xf numFmtId="0" fontId="0" fillId="2" borderId="49" xfId="0" applyFont="1" applyFill="1" applyBorder="1" applyAlignment="1">
      <alignment vertical="center" wrapText="1"/>
    </xf>
    <xf numFmtId="0" fontId="0" fillId="2" borderId="50" xfId="0" applyFont="1" applyFill="1" applyBorder="1" applyAlignment="1">
      <alignment vertical="center" wrapText="1"/>
    </xf>
    <xf numFmtId="49" fontId="10" fillId="2" borderId="5" xfId="0" applyNumberFormat="1" applyFont="1" applyFill="1" applyBorder="1" applyAlignment="1"/>
    <xf numFmtId="49" fontId="0" fillId="2" borderId="51" xfId="0" applyNumberFormat="1" applyFont="1" applyFill="1" applyBorder="1" applyAlignment="1"/>
    <xf numFmtId="0" fontId="0" fillId="2" borderId="52" xfId="0" applyFont="1" applyFill="1" applyBorder="1" applyAlignment="1">
      <alignment vertical="center" wrapText="1"/>
    </xf>
    <xf numFmtId="0" fontId="0" fillId="2" borderId="53" xfId="0" applyFont="1" applyFill="1" applyBorder="1" applyAlignment="1">
      <alignment vertical="center" wrapText="1"/>
    </xf>
    <xf numFmtId="49" fontId="0" fillId="2" borderId="54" xfId="0" applyNumberFormat="1" applyFont="1" applyFill="1" applyBorder="1" applyAlignment="1"/>
    <xf numFmtId="0" fontId="10" fillId="2" borderId="55" xfId="0" applyFont="1" applyFill="1" applyBorder="1" applyAlignment="1"/>
    <xf numFmtId="0" fontId="0" fillId="2" borderId="55" xfId="0" applyFont="1" applyFill="1" applyBorder="1" applyAlignment="1"/>
    <xf numFmtId="0" fontId="0" fillId="2" borderId="56" xfId="0" applyFont="1" applyFill="1" applyBorder="1" applyAlignment="1"/>
    <xf numFmtId="0" fontId="10" fillId="2" borderId="9" xfId="0" applyFont="1" applyFill="1" applyBorder="1" applyAlignment="1"/>
    <xf numFmtId="0" fontId="10" fillId="2" borderId="37" xfId="0" applyFont="1" applyFill="1" applyBorder="1" applyAlignment="1"/>
    <xf numFmtId="10" fontId="9" fillId="2" borderId="46" xfId="0" applyNumberFormat="1" applyFont="1" applyFill="1" applyBorder="1" applyAlignment="1"/>
    <xf numFmtId="2" fontId="10" fillId="2" borderId="9" xfId="0" applyNumberFormat="1" applyFont="1" applyFill="1" applyBorder="1" applyAlignment="1"/>
    <xf numFmtId="49" fontId="0" fillId="2" borderId="22" xfId="0" applyNumberFormat="1" applyFont="1" applyFill="1" applyBorder="1" applyAlignment="1">
      <alignment vertical="center"/>
    </xf>
    <xf numFmtId="0" fontId="0" fillId="2" borderId="23" xfId="0" applyFont="1" applyFill="1" applyBorder="1" applyAlignment="1">
      <alignment vertical="center"/>
    </xf>
    <xf numFmtId="0" fontId="0" fillId="2" borderId="25" xfId="0" applyFont="1" applyFill="1" applyBorder="1" applyAlignment="1">
      <alignment vertical="center"/>
    </xf>
    <xf numFmtId="10" fontId="0" fillId="2" borderId="5" xfId="0" applyNumberFormat="1" applyFont="1" applyFill="1" applyBorder="1" applyAlignment="1">
      <alignment horizontal="center" vertical="center"/>
    </xf>
    <xf numFmtId="49" fontId="0" fillId="6" borderId="22" xfId="0" applyNumberFormat="1" applyFont="1" applyFill="1" applyBorder="1" applyAlignment="1">
      <alignment vertical="center"/>
    </xf>
    <xf numFmtId="0" fontId="0" fillId="6" borderId="23" xfId="0" applyFont="1" applyFill="1" applyBorder="1" applyAlignment="1">
      <alignment vertical="center"/>
    </xf>
    <xf numFmtId="0" fontId="0" fillId="6" borderId="25" xfId="0" applyFont="1" applyFill="1" applyBorder="1" applyAlignment="1">
      <alignment vertical="center"/>
    </xf>
    <xf numFmtId="10" fontId="9" fillId="2" borderId="46" xfId="0" applyNumberFormat="1" applyFont="1" applyFill="1" applyBorder="1" applyAlignment="1">
      <alignment horizontal="right"/>
    </xf>
    <xf numFmtId="49" fontId="10" fillId="5" borderId="47" xfId="0" applyNumberFormat="1" applyFont="1" applyFill="1" applyBorder="1" applyAlignment="1">
      <alignment horizontal="center" vertical="center"/>
    </xf>
    <xf numFmtId="49" fontId="10" fillId="5" borderId="47" xfId="0" applyNumberFormat="1" applyFont="1" applyFill="1" applyBorder="1" applyAlignment="1">
      <alignment horizontal="center" vertical="center" wrapText="1"/>
    </xf>
    <xf numFmtId="49" fontId="15" fillId="7" borderId="22" xfId="0" applyNumberFormat="1" applyFont="1" applyFill="1" applyBorder="1" applyAlignment="1">
      <alignment vertical="center"/>
    </xf>
    <xf numFmtId="0" fontId="15" fillId="7" borderId="23" xfId="0" applyFont="1" applyFill="1" applyBorder="1" applyAlignment="1">
      <alignment vertical="center"/>
    </xf>
    <xf numFmtId="0" fontId="15" fillId="7" borderId="25" xfId="0" applyFont="1" applyFill="1" applyBorder="1" applyAlignment="1">
      <alignment vertical="center"/>
    </xf>
    <xf numFmtId="10" fontId="15" fillId="7" borderId="5" xfId="0" applyNumberFormat="1" applyFont="1" applyFill="1" applyBorder="1" applyAlignment="1">
      <alignment horizontal="center" vertical="center"/>
    </xf>
    <xf numFmtId="49" fontId="10" fillId="2" borderId="37" xfId="0" applyNumberFormat="1" applyFont="1" applyFill="1" applyBorder="1" applyAlignment="1"/>
    <xf numFmtId="49" fontId="10" fillId="2" borderId="38" xfId="0" applyNumberFormat="1" applyFont="1" applyFill="1" applyBorder="1" applyAlignment="1"/>
    <xf numFmtId="0" fontId="0" fillId="2" borderId="59" xfId="0" applyFont="1" applyFill="1" applyBorder="1" applyAlignment="1"/>
    <xf numFmtId="0" fontId="0" fillId="2" borderId="60" xfId="0" applyFont="1" applyFill="1" applyBorder="1" applyAlignment="1"/>
    <xf numFmtId="0" fontId="0" fillId="2" borderId="61" xfId="0" applyFont="1" applyFill="1" applyBorder="1" applyAlignment="1"/>
    <xf numFmtId="0" fontId="0" fillId="0" borderId="0" xfId="0" applyNumberFormat="1" applyFont="1" applyAlignment="1"/>
    <xf numFmtId="0" fontId="13" fillId="2" borderId="35" xfId="0" applyFont="1" applyFill="1" applyBorder="1" applyAlignment="1">
      <alignment horizontal="justify" vertical="center"/>
    </xf>
    <xf numFmtId="0" fontId="0" fillId="2" borderId="31" xfId="0" applyFont="1" applyFill="1" applyBorder="1" applyAlignment="1"/>
    <xf numFmtId="49" fontId="13" fillId="3" borderId="5" xfId="0" applyNumberFormat="1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vertical="center" wrapText="1"/>
    </xf>
    <xf numFmtId="0" fontId="0" fillId="2" borderId="62" xfId="0" applyFont="1" applyFill="1" applyBorder="1" applyAlignment="1"/>
    <xf numFmtId="0" fontId="0" fillId="2" borderId="34" xfId="0" applyFont="1" applyFill="1" applyBorder="1" applyAlignment="1"/>
    <xf numFmtId="49" fontId="13" fillId="3" borderId="5" xfId="0" applyNumberFormat="1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top" wrapText="1"/>
    </xf>
    <xf numFmtId="9" fontId="13" fillId="3" borderId="5" xfId="0" applyNumberFormat="1" applyFont="1" applyFill="1" applyBorder="1" applyAlignment="1">
      <alignment horizontal="center" vertical="center" wrapText="1"/>
    </xf>
    <xf numFmtId="49" fontId="11" fillId="2" borderId="28" xfId="0" applyNumberFormat="1" applyFont="1" applyFill="1" applyBorder="1" applyAlignment="1">
      <alignment horizontal="left" vertical="center"/>
    </xf>
    <xf numFmtId="0" fontId="6" fillId="2" borderId="28" xfId="0" applyNumberFormat="1" applyFont="1" applyFill="1" applyBorder="1" applyAlignment="1">
      <alignment horizontal="center" vertical="center"/>
    </xf>
    <xf numFmtId="0" fontId="6" fillId="2" borderId="29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wrapText="1"/>
    </xf>
    <xf numFmtId="164" fontId="6" fillId="2" borderId="5" xfId="0" applyNumberFormat="1" applyFont="1" applyFill="1" applyBorder="1" applyAlignment="1">
      <alignment horizontal="center"/>
    </xf>
    <xf numFmtId="0" fontId="6" fillId="2" borderId="5" xfId="0" applyNumberFormat="1" applyFont="1" applyFill="1" applyBorder="1" applyAlignment="1">
      <alignment horizontal="center"/>
    </xf>
    <xf numFmtId="164" fontId="0" fillId="2" borderId="5" xfId="0" applyNumberFormat="1" applyFont="1" applyFill="1" applyBorder="1" applyAlignment="1"/>
    <xf numFmtId="49" fontId="11" fillId="2" borderId="35" xfId="0" applyNumberFormat="1" applyFont="1" applyFill="1" applyBorder="1" applyAlignment="1">
      <alignment horizontal="left" vertical="center"/>
    </xf>
    <xf numFmtId="0" fontId="6" fillId="2" borderId="35" xfId="0" applyNumberFormat="1" applyFont="1" applyFill="1" applyBorder="1" applyAlignment="1">
      <alignment horizontal="center" vertical="center"/>
    </xf>
    <xf numFmtId="0" fontId="6" fillId="2" borderId="62" xfId="0" applyNumberFormat="1" applyFont="1" applyFill="1" applyBorder="1" applyAlignment="1">
      <alignment horizontal="center" vertical="center"/>
    </xf>
    <xf numFmtId="0" fontId="13" fillId="2" borderId="5" xfId="0" applyNumberFormat="1" applyFont="1" applyFill="1" applyBorder="1" applyAlignment="1">
      <alignment horizontal="center"/>
    </xf>
    <xf numFmtId="0" fontId="17" fillId="2" borderId="35" xfId="0" applyFont="1" applyFill="1" applyBorder="1" applyAlignment="1">
      <alignment horizontal="left" vertical="center" wrapText="1"/>
    </xf>
    <xf numFmtId="3" fontId="13" fillId="2" borderId="5" xfId="0" applyNumberFormat="1" applyFont="1" applyFill="1" applyBorder="1" applyAlignment="1">
      <alignment horizontal="center"/>
    </xf>
    <xf numFmtId="0" fontId="13" fillId="2" borderId="63" xfId="0" applyFont="1" applyFill="1" applyBorder="1" applyAlignment="1">
      <alignment horizontal="center"/>
    </xf>
    <xf numFmtId="3" fontId="13" fillId="2" borderId="23" xfId="0" applyNumberFormat="1" applyFont="1" applyFill="1" applyBorder="1" applyAlignment="1">
      <alignment horizontal="center"/>
    </xf>
    <xf numFmtId="0" fontId="0" fillId="2" borderId="64" xfId="0" applyFont="1" applyFill="1" applyBorder="1" applyAlignment="1"/>
    <xf numFmtId="0" fontId="17" fillId="2" borderId="65" xfId="0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justify" vertical="center" readingOrder="1"/>
    </xf>
    <xf numFmtId="164" fontId="6" fillId="2" borderId="5" xfId="0" applyNumberFormat="1" applyFont="1" applyFill="1" applyBorder="1" applyAlignment="1">
      <alignment horizontal="right" vertical="center" wrapText="1"/>
    </xf>
    <xf numFmtId="4" fontId="0" fillId="2" borderId="5" xfId="0" applyNumberFormat="1" applyFont="1" applyFill="1" applyBorder="1" applyAlignment="1">
      <alignment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164" fontId="0" fillId="2" borderId="5" xfId="0" applyNumberFormat="1" applyFont="1" applyFill="1" applyBorder="1" applyAlignment="1">
      <alignment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/>
    </xf>
    <xf numFmtId="4" fontId="0" fillId="2" borderId="66" xfId="0" applyNumberFormat="1" applyFont="1" applyFill="1" applyBorder="1" applyAlignment="1">
      <alignment vertical="center" wrapText="1"/>
    </xf>
    <xf numFmtId="0" fontId="0" fillId="2" borderId="67" xfId="0" applyFont="1" applyFill="1" applyBorder="1" applyAlignment="1"/>
    <xf numFmtId="3" fontId="13" fillId="2" borderId="67" xfId="0" applyNumberFormat="1" applyFont="1" applyFill="1" applyBorder="1" applyAlignment="1">
      <alignment horizontal="center"/>
    </xf>
    <xf numFmtId="0" fontId="17" fillId="2" borderId="68" xfId="0" applyFont="1" applyFill="1" applyBorder="1" applyAlignment="1">
      <alignment horizontal="justify" vertical="center" wrapText="1"/>
    </xf>
    <xf numFmtId="0" fontId="0" fillId="2" borderId="68" xfId="0" applyFont="1" applyFill="1" applyBorder="1" applyAlignment="1"/>
    <xf numFmtId="0" fontId="0" fillId="2" borderId="69" xfId="0" applyFont="1" applyFill="1" applyBorder="1" applyAlignment="1"/>
    <xf numFmtId="0" fontId="0" fillId="2" borderId="73" xfId="0" applyFont="1" applyFill="1" applyBorder="1" applyAlignment="1"/>
    <xf numFmtId="0" fontId="0" fillId="2" borderId="74" xfId="0" applyFont="1" applyFill="1" applyBorder="1" applyAlignment="1"/>
    <xf numFmtId="0" fontId="17" fillId="2" borderId="78" xfId="0" applyFont="1" applyFill="1" applyBorder="1" applyAlignment="1">
      <alignment horizontal="justify" vertical="center" wrapText="1"/>
    </xf>
    <xf numFmtId="0" fontId="13" fillId="2" borderId="79" xfId="0" applyFont="1" applyFill="1" applyBorder="1" applyAlignment="1">
      <alignment horizontal="justify" vertical="center"/>
    </xf>
    <xf numFmtId="0" fontId="0" fillId="2" borderId="79" xfId="0" applyFont="1" applyFill="1" applyBorder="1" applyAlignment="1"/>
    <xf numFmtId="0" fontId="0" fillId="2" borderId="78" xfId="0" applyFont="1" applyFill="1" applyBorder="1" applyAlignment="1"/>
    <xf numFmtId="0" fontId="6" fillId="2" borderId="78" xfId="0" applyFont="1" applyFill="1" applyBorder="1" applyAlignment="1">
      <alignment horizontal="left" vertical="center" wrapText="1"/>
    </xf>
    <xf numFmtId="0" fontId="0" fillId="2" borderId="83" xfId="0" applyFont="1" applyFill="1" applyBorder="1" applyAlignment="1"/>
    <xf numFmtId="0" fontId="0" fillId="2" borderId="35" xfId="0" applyNumberFormat="1" applyFont="1" applyFill="1" applyBorder="1" applyAlignment="1"/>
    <xf numFmtId="0" fontId="0" fillId="0" borderId="0" xfId="0" applyNumberFormat="1" applyFont="1" applyAlignment="1"/>
    <xf numFmtId="0" fontId="0" fillId="2" borderId="44" xfId="0" applyFont="1" applyFill="1" applyBorder="1" applyAlignment="1"/>
    <xf numFmtId="0" fontId="13" fillId="2" borderId="9" xfId="0" applyFont="1" applyFill="1" applyBorder="1" applyAlignment="1">
      <alignment vertical="center" wrapText="1"/>
    </xf>
    <xf numFmtId="0" fontId="13" fillId="2" borderId="38" xfId="0" applyFont="1" applyFill="1" applyBorder="1" applyAlignment="1">
      <alignment vertical="center" wrapText="1"/>
    </xf>
    <xf numFmtId="10" fontId="13" fillId="2" borderId="5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10" fontId="13" fillId="2" borderId="5" xfId="0" applyNumberFormat="1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164" fontId="0" fillId="2" borderId="9" xfId="0" applyNumberFormat="1" applyFont="1" applyFill="1" applyBorder="1" applyAlignment="1"/>
    <xf numFmtId="0" fontId="0" fillId="2" borderId="84" xfId="0" applyFont="1" applyFill="1" applyBorder="1" applyAlignment="1"/>
    <xf numFmtId="0" fontId="0" fillId="2" borderId="85" xfId="0" applyFont="1" applyFill="1" applyBorder="1" applyAlignment="1"/>
    <xf numFmtId="0" fontId="0" fillId="2" borderId="35" xfId="0" applyFont="1" applyFill="1" applyBorder="1" applyAlignment="1"/>
    <xf numFmtId="49" fontId="21" fillId="2" borderId="5" xfId="0" applyNumberFormat="1" applyFont="1" applyFill="1" applyBorder="1" applyAlignment="1">
      <alignment horizontal="left" wrapText="1"/>
    </xf>
    <xf numFmtId="49" fontId="2" fillId="2" borderId="27" xfId="0" applyNumberFormat="1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0" fillId="2" borderId="28" xfId="0" applyFont="1" applyFill="1" applyBorder="1" applyAlignment="1"/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0" fillId="2" borderId="23" xfId="0" applyFont="1" applyFill="1" applyBorder="1" applyAlignment="1"/>
    <xf numFmtId="0" fontId="2" fillId="2" borderId="25" xfId="0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/>
    <xf numFmtId="0" fontId="3" fillId="3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49" fontId="20" fillId="2" borderId="17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wrapText="1"/>
    </xf>
    <xf numFmtId="49" fontId="2" fillId="2" borderId="27" xfId="0" applyNumberFormat="1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49" fontId="2" fillId="2" borderId="34" xfId="0" applyNumberFormat="1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0" fillId="2" borderId="35" xfId="0" applyFont="1" applyFill="1" applyBorder="1" applyAlignment="1"/>
    <xf numFmtId="49" fontId="3" fillId="2" borderId="8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Alignment="1"/>
    <xf numFmtId="49" fontId="2" fillId="2" borderId="22" xfId="0" applyNumberFormat="1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4" fontId="2" fillId="2" borderId="22" xfId="0" applyNumberFormat="1" applyFont="1" applyFill="1" applyBorder="1" applyAlignment="1">
      <alignment horizontal="center" vertical="center"/>
    </xf>
    <xf numFmtId="0" fontId="0" fillId="2" borderId="25" xfId="0" applyFont="1" applyFill="1" applyBorder="1" applyAlignment="1"/>
    <xf numFmtId="0" fontId="2" fillId="2" borderId="27" xfId="0" applyFont="1" applyFill="1" applyBorder="1" applyAlignment="1">
      <alignment horizontal="left" vertical="center"/>
    </xf>
    <xf numFmtId="49" fontId="2" fillId="3" borderId="8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166" fontId="7" fillId="2" borderId="5" xfId="0" applyNumberFormat="1" applyFont="1" applyFill="1" applyBorder="1" applyAlignment="1">
      <alignment vertical="center" wrapText="1"/>
    </xf>
    <xf numFmtId="166" fontId="7" fillId="2" borderId="5" xfId="0" applyNumberFormat="1" applyFont="1" applyFill="1" applyBorder="1" applyAlignment="1">
      <alignment horizontal="right" vertical="center"/>
    </xf>
    <xf numFmtId="10" fontId="5" fillId="2" borderId="5" xfId="0" applyNumberFormat="1" applyFont="1" applyFill="1" applyBorder="1" applyAlignment="1">
      <alignment horizontal="center" vertical="center"/>
    </xf>
    <xf numFmtId="9" fontId="5" fillId="2" borderId="5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/>
    <xf numFmtId="49" fontId="2" fillId="3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/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49" fontId="9" fillId="5" borderId="57" xfId="0" applyNumberFormat="1" applyFont="1" applyFill="1" applyBorder="1" applyAlignment="1">
      <alignment horizontal="center" vertical="center" wrapText="1"/>
    </xf>
    <xf numFmtId="49" fontId="9" fillId="5" borderId="58" xfId="0" applyNumberFormat="1" applyFont="1" applyFill="1" applyBorder="1" applyAlignment="1">
      <alignment horizontal="center" vertical="center" wrapText="1"/>
    </xf>
    <xf numFmtId="49" fontId="9" fillId="5" borderId="14" xfId="0" applyNumberFormat="1" applyFont="1" applyFill="1" applyBorder="1" applyAlignment="1">
      <alignment horizontal="center" vertical="center" wrapText="1"/>
    </xf>
    <xf numFmtId="49" fontId="9" fillId="5" borderId="15" xfId="0" applyNumberFormat="1" applyFont="1" applyFill="1" applyBorder="1" applyAlignment="1">
      <alignment horizontal="center" vertical="center" wrapText="1"/>
    </xf>
    <xf numFmtId="49" fontId="9" fillId="6" borderId="22" xfId="0" applyNumberFormat="1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49" fontId="0" fillId="6" borderId="22" xfId="0" applyNumberFormat="1" applyFont="1" applyFill="1" applyBorder="1" applyAlignment="1">
      <alignment horizontal="center" vertical="center"/>
    </xf>
    <xf numFmtId="0" fontId="0" fillId="6" borderId="25" xfId="0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left" vertical="center"/>
    </xf>
    <xf numFmtId="0" fontId="0" fillId="2" borderId="37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0" fillId="2" borderId="14" xfId="0" applyFont="1" applyFill="1" applyBorder="1" applyAlignment="1">
      <alignment horizontal="left" vertical="center"/>
    </xf>
    <xf numFmtId="0" fontId="0" fillId="2" borderId="44" xfId="0" applyFont="1" applyFill="1" applyBorder="1" applyAlignment="1">
      <alignment horizontal="left" vertical="center"/>
    </xf>
    <xf numFmtId="0" fontId="0" fillId="2" borderId="15" xfId="0" applyFont="1" applyFill="1" applyBorder="1" applyAlignment="1">
      <alignment horizontal="left" vertical="center"/>
    </xf>
    <xf numFmtId="10" fontId="0" fillId="2" borderId="8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10" fontId="0" fillId="2" borderId="13" xfId="0" applyNumberFormat="1" applyFont="1" applyFill="1" applyBorder="1" applyAlignment="1">
      <alignment horizontal="center" vertical="center"/>
    </xf>
    <xf numFmtId="49" fontId="9" fillId="2" borderId="44" xfId="0" applyNumberFormat="1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49" fontId="9" fillId="2" borderId="46" xfId="0" applyNumberFormat="1" applyFont="1" applyFill="1" applyBorder="1" applyAlignment="1">
      <alignment horizontal="left"/>
    </xf>
    <xf numFmtId="0" fontId="9" fillId="2" borderId="46" xfId="0" applyFont="1" applyFill="1" applyBorder="1" applyAlignment="1">
      <alignment horizontal="left"/>
    </xf>
    <xf numFmtId="10" fontId="10" fillId="2" borderId="5" xfId="0" applyNumberFormat="1" applyFont="1" applyFill="1" applyBorder="1" applyAlignment="1">
      <alignment horizontal="right"/>
    </xf>
    <xf numFmtId="10" fontId="9" fillId="2" borderId="46" xfId="0" applyNumberFormat="1" applyFont="1" applyFill="1" applyBorder="1" applyAlignment="1">
      <alignment horizontal="center"/>
    </xf>
    <xf numFmtId="49" fontId="9" fillId="2" borderId="47" xfId="0" applyNumberFormat="1" applyFont="1" applyFill="1" applyBorder="1" applyAlignment="1">
      <alignment horizontal="center"/>
    </xf>
    <xf numFmtId="0" fontId="9" fillId="2" borderId="47" xfId="0" applyFont="1" applyFill="1" applyBorder="1" applyAlignment="1">
      <alignment horizontal="center"/>
    </xf>
    <xf numFmtId="49" fontId="9" fillId="5" borderId="22" xfId="0" applyNumberFormat="1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left"/>
    </xf>
    <xf numFmtId="0" fontId="13" fillId="2" borderId="37" xfId="0" applyFont="1" applyFill="1" applyBorder="1" applyAlignment="1">
      <alignment horizontal="left"/>
    </xf>
    <xf numFmtId="49" fontId="13" fillId="2" borderId="22" xfId="0" applyNumberFormat="1" applyFont="1" applyFill="1" applyBorder="1" applyAlignment="1">
      <alignment horizontal="left"/>
    </xf>
    <xf numFmtId="0" fontId="13" fillId="2" borderId="25" xfId="0" applyFont="1" applyFill="1" applyBorder="1" applyAlignment="1">
      <alignment horizontal="left"/>
    </xf>
    <xf numFmtId="49" fontId="9" fillId="2" borderId="38" xfId="0" applyNumberFormat="1" applyFont="1" applyFill="1" applyBorder="1" applyAlignment="1">
      <alignment horizontal="center" wrapText="1"/>
    </xf>
    <xf numFmtId="0" fontId="9" fillId="2" borderId="38" xfId="0" applyFont="1" applyFill="1" applyBorder="1" applyAlignment="1">
      <alignment horizontal="center" wrapText="1"/>
    </xf>
    <xf numFmtId="49" fontId="9" fillId="2" borderId="44" xfId="0" applyNumberFormat="1" applyFont="1" applyFill="1" applyBorder="1" applyAlignment="1">
      <alignment horizontal="center" wrapText="1"/>
    </xf>
    <xf numFmtId="0" fontId="9" fillId="2" borderId="44" xfId="0" applyFont="1" applyFill="1" applyBorder="1" applyAlignment="1">
      <alignment horizont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49" fontId="13" fillId="2" borderId="22" xfId="0" applyNumberFormat="1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13" fillId="2" borderId="35" xfId="0" applyFont="1" applyFill="1" applyBorder="1" applyAlignment="1">
      <alignment horizontal="justify" vertical="center"/>
    </xf>
    <xf numFmtId="0" fontId="13" fillId="2" borderId="31" xfId="0" applyFont="1" applyFill="1" applyBorder="1" applyAlignment="1">
      <alignment horizontal="justify" vertical="top" wrapText="1"/>
    </xf>
    <xf numFmtId="0" fontId="6" fillId="2" borderId="31" xfId="0" applyFont="1" applyFill="1" applyBorder="1" applyAlignment="1">
      <alignment horizontal="justify" vertical="top" wrapText="1"/>
    </xf>
    <xf numFmtId="49" fontId="13" fillId="3" borderId="8" xfId="0" applyNumberFormat="1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3" fontId="0" fillId="2" borderId="5" xfId="0" applyNumberFormat="1" applyFont="1" applyFill="1" applyBorder="1" applyAlignment="1">
      <alignment horizontal="center" vertical="center" wrapText="1"/>
    </xf>
    <xf numFmtId="164" fontId="0" fillId="2" borderId="5" xfId="0" applyNumberFormat="1" applyFont="1" applyFill="1" applyBorder="1" applyAlignment="1">
      <alignment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75" xfId="0" applyNumberFormat="1" applyFont="1" applyFill="1" applyBorder="1" applyAlignment="1">
      <alignment horizontal="justify" vertical="center" wrapText="1"/>
    </xf>
    <xf numFmtId="0" fontId="6" fillId="2" borderId="76" xfId="0" applyFont="1" applyFill="1" applyBorder="1" applyAlignment="1">
      <alignment horizontal="justify" vertical="center" wrapText="1"/>
    </xf>
    <xf numFmtId="0" fontId="6" fillId="2" borderId="77" xfId="0" applyFont="1" applyFill="1" applyBorder="1" applyAlignment="1">
      <alignment horizontal="justify" vertical="center" wrapText="1"/>
    </xf>
    <xf numFmtId="0" fontId="6" fillId="2" borderId="80" xfId="0" applyFont="1" applyFill="1" applyBorder="1" applyAlignment="1">
      <alignment horizontal="justify" vertical="center" wrapText="1"/>
    </xf>
    <xf numFmtId="0" fontId="6" fillId="2" borderId="81" xfId="0" applyFont="1" applyFill="1" applyBorder="1" applyAlignment="1">
      <alignment horizontal="justify" vertical="center" wrapText="1"/>
    </xf>
    <xf numFmtId="0" fontId="6" fillId="2" borderId="82" xfId="0" applyFont="1" applyFill="1" applyBorder="1" applyAlignment="1">
      <alignment horizontal="justify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18" fillId="2" borderId="70" xfId="0" applyNumberFormat="1" applyFont="1" applyFill="1" applyBorder="1" applyAlignment="1">
      <alignment horizontal="left" vertical="center" wrapText="1"/>
    </xf>
    <xf numFmtId="0" fontId="18" fillId="2" borderId="71" xfId="0" applyFont="1" applyFill="1" applyBorder="1" applyAlignment="1">
      <alignment horizontal="left" vertical="center" wrapText="1"/>
    </xf>
    <xf numFmtId="0" fontId="18" fillId="2" borderId="72" xfId="0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13" fillId="2" borderId="5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3" fontId="6" fillId="2" borderId="5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49" fontId="13" fillId="6" borderId="5" xfId="0" applyNumberFormat="1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8D8D8"/>
      <rgbColor rgb="FFFF0000"/>
      <rgbColor rgb="FF7F7F7F"/>
      <rgbColor rgb="FFF2F2F2"/>
      <rgbColor rgb="FFFBE4D5"/>
      <rgbColor rgb="FFD9D9D9"/>
      <rgbColor rgb="FFFCE4D6"/>
      <rgbColor rgb="FFA7A7A7"/>
      <rgbColor rgb="FFA5A5A5"/>
      <rgbColor rgb="FF0000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2679700</xdr:colOff>
      <xdr:row>14</xdr:row>
      <xdr:rowOff>142239</xdr:rowOff>
    </xdr:from>
    <xdr:to>
      <xdr:col>8</xdr:col>
      <xdr:colOff>654843</xdr:colOff>
      <xdr:row>20</xdr:row>
      <xdr:rowOff>89849</xdr:rowOff>
    </xdr:to>
    <xdr:pic>
      <xdr:nvPicPr>
        <xdr:cNvPr id="2" name="Imagem 1" descr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44300" y="2818764"/>
          <a:ext cx="2369344" cy="111918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semob.df.gov.br/tarif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showGridLines="0" tabSelected="1" zoomScale="70" zoomScaleNormal="70" workbookViewId="0">
      <selection activeCell="H7" sqref="H7"/>
    </sheetView>
  </sheetViews>
  <sheetFormatPr defaultColWidth="8.85546875" defaultRowHeight="15" customHeight="1" x14ac:dyDescent="0.25"/>
  <cols>
    <col min="1" max="1" width="40.140625" style="1" customWidth="1"/>
    <col min="2" max="2" width="12.140625" style="1" customWidth="1"/>
    <col min="3" max="3" width="14.140625" style="1" customWidth="1"/>
    <col min="4" max="4" width="20" style="1" customWidth="1"/>
    <col min="5" max="17" width="23.7109375" style="1" customWidth="1"/>
    <col min="18" max="18" width="21.42578125" style="1" customWidth="1"/>
    <col min="19" max="19" width="25.140625" style="1" customWidth="1"/>
    <col min="20" max="20" width="8.85546875" style="1" customWidth="1"/>
    <col min="21" max="16384" width="8.85546875" style="1"/>
  </cols>
  <sheetData>
    <row r="1" spans="1:19" ht="33.75" customHeight="1" x14ac:dyDescent="0.25">
      <c r="A1" s="230" t="s">
        <v>176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"/>
      <c r="S1" s="3"/>
    </row>
    <row r="2" spans="1:19" ht="26.25" customHeight="1" x14ac:dyDescent="0.25">
      <c r="A2" s="198" t="s">
        <v>0</v>
      </c>
      <c r="B2" s="232" t="s">
        <v>1</v>
      </c>
      <c r="C2" s="233"/>
      <c r="D2" s="223" t="s">
        <v>2</v>
      </c>
      <c r="E2" s="198" t="s">
        <v>3</v>
      </c>
      <c r="F2" s="199"/>
      <c r="G2" s="200"/>
      <c r="H2" s="198" t="s">
        <v>4</v>
      </c>
      <c r="I2" s="199"/>
      <c r="J2" s="200"/>
      <c r="K2" s="198" t="s">
        <v>5</v>
      </c>
      <c r="L2" s="198" t="s">
        <v>6</v>
      </c>
      <c r="M2" s="198" t="s">
        <v>7</v>
      </c>
      <c r="N2" s="223" t="s">
        <v>8</v>
      </c>
      <c r="O2" s="198" t="s">
        <v>9</v>
      </c>
      <c r="P2" s="198" t="s">
        <v>10</v>
      </c>
      <c r="Q2" s="198" t="s">
        <v>11</v>
      </c>
      <c r="R2" s="5"/>
      <c r="S2" s="6"/>
    </row>
    <row r="3" spans="1:19" ht="31.5" customHeight="1" x14ac:dyDescent="0.25">
      <c r="A3" s="199"/>
      <c r="B3" s="234"/>
      <c r="C3" s="235"/>
      <c r="D3" s="224"/>
      <c r="E3" s="198" t="s">
        <v>12</v>
      </c>
      <c r="F3" s="198" t="s">
        <v>13</v>
      </c>
      <c r="G3" s="198" t="s">
        <v>14</v>
      </c>
      <c r="H3" s="223" t="s">
        <v>15</v>
      </c>
      <c r="I3" s="198" t="s">
        <v>16</v>
      </c>
      <c r="J3" s="198" t="s">
        <v>17</v>
      </c>
      <c r="K3" s="199"/>
      <c r="L3" s="199"/>
      <c r="M3" s="199"/>
      <c r="N3" s="215"/>
      <c r="O3" s="199"/>
      <c r="P3" s="199"/>
      <c r="Q3" s="199"/>
      <c r="R3" s="5"/>
      <c r="S3" s="6"/>
    </row>
    <row r="4" spans="1:19" ht="111" customHeight="1" x14ac:dyDescent="0.25">
      <c r="A4" s="200"/>
      <c r="B4" s="236"/>
      <c r="C4" s="235"/>
      <c r="D4" s="224"/>
      <c r="E4" s="200"/>
      <c r="F4" s="200"/>
      <c r="G4" s="200"/>
      <c r="H4" s="224"/>
      <c r="I4" s="200"/>
      <c r="J4" s="200"/>
      <c r="K4" s="200"/>
      <c r="L4" s="200"/>
      <c r="M4" s="200"/>
      <c r="N4" s="225"/>
      <c r="O4" s="200"/>
      <c r="P4" s="200"/>
      <c r="Q4" s="200"/>
      <c r="R4" s="5"/>
      <c r="S4" s="6"/>
    </row>
    <row r="5" spans="1:19" ht="47.25" customHeight="1" x14ac:dyDescent="0.25">
      <c r="A5" s="200"/>
      <c r="B5" s="236"/>
      <c r="C5" s="235"/>
      <c r="D5" s="224"/>
      <c r="E5" s="200"/>
      <c r="F5" s="200"/>
      <c r="G5" s="200"/>
      <c r="H5" s="224"/>
      <c r="I5" s="200"/>
      <c r="J5" s="200"/>
      <c r="K5" s="200"/>
      <c r="L5" s="200"/>
      <c r="M5" s="200"/>
      <c r="N5" s="8">
        <v>12</v>
      </c>
      <c r="O5" s="200"/>
      <c r="P5" s="200"/>
      <c r="Q5" s="200"/>
      <c r="R5" s="5"/>
      <c r="S5" s="6"/>
    </row>
    <row r="6" spans="1:19" ht="27" customHeight="1" x14ac:dyDescent="0.25">
      <c r="A6" s="200"/>
      <c r="B6" s="237"/>
      <c r="C6" s="238"/>
      <c r="D6" s="225"/>
      <c r="E6" s="201"/>
      <c r="F6" s="9">
        <f>'Anx II- Encargos Sociais'!D36</f>
        <v>0.7170233777777778</v>
      </c>
      <c r="G6" s="200"/>
      <c r="H6" s="225"/>
      <c r="I6" s="200"/>
      <c r="J6" s="200"/>
      <c r="K6" s="200"/>
      <c r="L6" s="10">
        <f>'Anx II- Encargos Sociais'!K14</f>
        <v>0.31020408163265345</v>
      </c>
      <c r="M6" s="200"/>
      <c r="N6" s="4" t="s">
        <v>18</v>
      </c>
      <c r="O6" s="201"/>
      <c r="P6" s="200"/>
      <c r="Q6" s="200"/>
      <c r="R6" s="5"/>
      <c r="S6" s="6"/>
    </row>
    <row r="7" spans="1:19" ht="38.25" customHeight="1" x14ac:dyDescent="0.25">
      <c r="A7" s="11" t="s">
        <v>33</v>
      </c>
      <c r="B7" s="214" t="s">
        <v>19</v>
      </c>
      <c r="C7" s="214" t="s">
        <v>20</v>
      </c>
      <c r="D7" s="202" t="s">
        <v>178</v>
      </c>
      <c r="E7" s="12">
        <v>20062.830000000002</v>
      </c>
      <c r="F7" s="13">
        <f t="shared" ref="F7:F13" si="0">E7*$F$6</f>
        <v>14385.518134381335</v>
      </c>
      <c r="G7" s="14">
        <f t="shared" ref="G7:G13" si="1">SUM(E7:F7)</f>
        <v>34448.348134381333</v>
      </c>
      <c r="H7" s="15">
        <f>'Anx III - Horas, VT,VR, '!$O$6</f>
        <v>588.1450000000001</v>
      </c>
      <c r="I7" s="15">
        <f>'Anx III - Horas, VT,VR, '!H35</f>
        <v>0</v>
      </c>
      <c r="J7" s="15">
        <f t="shared" ref="J7:J13" si="2">SUM(H7:I7)</f>
        <v>588.1450000000001</v>
      </c>
      <c r="K7" s="15">
        <f t="shared" ref="K7:K13" si="3">G7+J7</f>
        <v>35036.49313438133</v>
      </c>
      <c r="L7" s="15">
        <f t="shared" ref="L7:L13" si="4">K7*$L$6</f>
        <v>10868.463176379528</v>
      </c>
      <c r="M7" s="15">
        <f t="shared" ref="M7:M13" si="5">SUM(K7:L7)</f>
        <v>45904.956310760856</v>
      </c>
      <c r="N7" s="16">
        <f t="shared" ref="N7:N13" si="6">M7*$N$5</f>
        <v>550859.47572913021</v>
      </c>
      <c r="O7" s="17">
        <v>5</v>
      </c>
      <c r="P7" s="18">
        <f t="shared" ref="P7:P13" si="7">M7*O7</f>
        <v>229524.78155380429</v>
      </c>
      <c r="Q7" s="15">
        <f t="shared" ref="Q7:Q13" si="8">P7*$N$5</f>
        <v>2754297.3786456515</v>
      </c>
      <c r="R7" s="19"/>
      <c r="S7" s="20"/>
    </row>
    <row r="8" spans="1:19" ht="38.25" customHeight="1" x14ac:dyDescent="0.25">
      <c r="A8" s="11" t="s">
        <v>34</v>
      </c>
      <c r="B8" s="215"/>
      <c r="C8" s="215"/>
      <c r="D8" s="203"/>
      <c r="E8" s="12">
        <v>17094.2</v>
      </c>
      <c r="F8" s="13">
        <f t="shared" si="0"/>
        <v>12256.94102440889</v>
      </c>
      <c r="G8" s="14">
        <f t="shared" si="1"/>
        <v>29351.141024408891</v>
      </c>
      <c r="H8" s="15">
        <f>'Anx III - Horas, VT,VR, '!$O$6</f>
        <v>588.1450000000001</v>
      </c>
      <c r="I8" s="15">
        <f>'Anx III - Horas, VT,VR, '!H35</f>
        <v>0</v>
      </c>
      <c r="J8" s="15">
        <f t="shared" si="2"/>
        <v>588.1450000000001</v>
      </c>
      <c r="K8" s="15">
        <f t="shared" si="3"/>
        <v>29939.286024408892</v>
      </c>
      <c r="L8" s="15">
        <f t="shared" si="4"/>
        <v>9287.2887259390955</v>
      </c>
      <c r="M8" s="15">
        <f t="shared" si="5"/>
        <v>39226.574750347987</v>
      </c>
      <c r="N8" s="16">
        <f t="shared" si="6"/>
        <v>470718.89700417581</v>
      </c>
      <c r="O8" s="17">
        <v>13</v>
      </c>
      <c r="P8" s="18">
        <f t="shared" si="7"/>
        <v>509945.47175452381</v>
      </c>
      <c r="Q8" s="15">
        <f t="shared" si="8"/>
        <v>6119345.6610542852</v>
      </c>
      <c r="R8" s="19"/>
      <c r="S8" s="21"/>
    </row>
    <row r="9" spans="1:19" ht="38.25" customHeight="1" x14ac:dyDescent="0.25">
      <c r="A9" s="11" t="s">
        <v>184</v>
      </c>
      <c r="B9" s="215"/>
      <c r="C9" s="215"/>
      <c r="D9" s="203"/>
      <c r="E9" s="12">
        <v>11434</v>
      </c>
      <c r="F9" s="13">
        <f t="shared" si="0"/>
        <v>8198.4453015111121</v>
      </c>
      <c r="G9" s="14">
        <f t="shared" si="1"/>
        <v>19632.445301511114</v>
      </c>
      <c r="H9" s="15">
        <f>'Anx III - Horas, VT,VR, '!$O$6</f>
        <v>588.1450000000001</v>
      </c>
      <c r="I9" s="15">
        <f>'Anx III - Horas, VT,VR, '!H36</f>
        <v>0</v>
      </c>
      <c r="J9" s="15">
        <f t="shared" si="2"/>
        <v>588.1450000000001</v>
      </c>
      <c r="K9" s="15">
        <f t="shared" si="3"/>
        <v>20220.590301511114</v>
      </c>
      <c r="L9" s="15">
        <f t="shared" si="4"/>
        <v>6272.5096445503941</v>
      </c>
      <c r="M9" s="15">
        <f t="shared" si="5"/>
        <v>26493.099946061509</v>
      </c>
      <c r="N9" s="16">
        <f t="shared" si="6"/>
        <v>317917.1993527381</v>
      </c>
      <c r="O9" s="17">
        <v>3</v>
      </c>
      <c r="P9" s="18">
        <f t="shared" si="7"/>
        <v>79479.299838184525</v>
      </c>
      <c r="Q9" s="15">
        <f t="shared" si="8"/>
        <v>953751.59805821429</v>
      </c>
      <c r="R9" s="19"/>
      <c r="S9" s="21"/>
    </row>
    <row r="10" spans="1:19" ht="38.25" customHeight="1" x14ac:dyDescent="0.25">
      <c r="A10" s="11" t="s">
        <v>35</v>
      </c>
      <c r="B10" s="215"/>
      <c r="C10" s="215"/>
      <c r="D10" s="203"/>
      <c r="E10" s="12">
        <v>15715.11</v>
      </c>
      <c r="F10" s="13">
        <f t="shared" si="0"/>
        <v>11268.101254349334</v>
      </c>
      <c r="G10" s="14">
        <f t="shared" si="1"/>
        <v>26983.211254349335</v>
      </c>
      <c r="H10" s="15">
        <f>'Anx III - Horas, VT,VR, '!$O$6</f>
        <v>588.1450000000001</v>
      </c>
      <c r="I10" s="15">
        <f>'Anx III - Horas, VT,VR, '!H36</f>
        <v>0</v>
      </c>
      <c r="J10" s="15">
        <f t="shared" si="2"/>
        <v>588.1450000000001</v>
      </c>
      <c r="K10" s="15">
        <f t="shared" si="3"/>
        <v>27571.356254349335</v>
      </c>
      <c r="L10" s="15">
        <f t="shared" si="4"/>
        <v>8552.7472462471524</v>
      </c>
      <c r="M10" s="15">
        <f t="shared" si="5"/>
        <v>36124.103500596488</v>
      </c>
      <c r="N10" s="16">
        <f t="shared" si="6"/>
        <v>433489.24200715788</v>
      </c>
      <c r="O10" s="17">
        <v>2</v>
      </c>
      <c r="P10" s="18">
        <f t="shared" si="7"/>
        <v>72248.207001192975</v>
      </c>
      <c r="Q10" s="15">
        <f t="shared" si="8"/>
        <v>866978.48401431576</v>
      </c>
      <c r="R10" s="19"/>
      <c r="S10" s="20"/>
    </row>
    <row r="11" spans="1:19" ht="38.25" customHeight="1" x14ac:dyDescent="0.25">
      <c r="A11" s="11" t="s">
        <v>175</v>
      </c>
      <c r="B11" s="215"/>
      <c r="C11" s="215"/>
      <c r="D11" s="203"/>
      <c r="E11" s="12">
        <v>15168.25</v>
      </c>
      <c r="F11" s="13">
        <f t="shared" si="0"/>
        <v>10875.989849977777</v>
      </c>
      <c r="G11" s="14">
        <f t="shared" si="1"/>
        <v>26044.239849977777</v>
      </c>
      <c r="H11" s="15">
        <f>'Anx III - Horas, VT,VR, '!$O$6</f>
        <v>588.1450000000001</v>
      </c>
      <c r="I11" s="15">
        <f>'Anx III - Horas, VT,VR, '!H36</f>
        <v>0</v>
      </c>
      <c r="J11" s="15">
        <f t="shared" si="2"/>
        <v>588.1450000000001</v>
      </c>
      <c r="K11" s="15">
        <f t="shared" si="3"/>
        <v>26632.384849977778</v>
      </c>
      <c r="L11" s="15">
        <f t="shared" si="4"/>
        <v>8261.4744840747499</v>
      </c>
      <c r="M11" s="15">
        <f t="shared" si="5"/>
        <v>34893.859334052526</v>
      </c>
      <c r="N11" s="16">
        <f t="shared" si="6"/>
        <v>418726.31200863031</v>
      </c>
      <c r="O11" s="17">
        <v>2</v>
      </c>
      <c r="P11" s="18">
        <f t="shared" si="7"/>
        <v>69787.718668105052</v>
      </c>
      <c r="Q11" s="15">
        <f t="shared" si="8"/>
        <v>837452.62401726062</v>
      </c>
      <c r="R11" s="19"/>
      <c r="S11" s="20"/>
    </row>
    <row r="12" spans="1:19" ht="38.25" customHeight="1" x14ac:dyDescent="0.25">
      <c r="A12" s="11" t="s">
        <v>36</v>
      </c>
      <c r="B12" s="215"/>
      <c r="C12" s="215"/>
      <c r="D12" s="203"/>
      <c r="E12" s="12">
        <v>16500</v>
      </c>
      <c r="F12" s="13">
        <f t="shared" si="0"/>
        <v>11830.885733333334</v>
      </c>
      <c r="G12" s="14">
        <f t="shared" si="1"/>
        <v>28330.885733333336</v>
      </c>
      <c r="H12" s="15">
        <f>'Anx III - Horas, VT,VR, '!$O$6</f>
        <v>588.1450000000001</v>
      </c>
      <c r="I12" s="15">
        <f>'Anx III - Horas, VT,VR, '!H36</f>
        <v>0</v>
      </c>
      <c r="J12" s="15">
        <f t="shared" si="2"/>
        <v>588.1450000000001</v>
      </c>
      <c r="K12" s="15">
        <f t="shared" si="3"/>
        <v>28919.030733333337</v>
      </c>
      <c r="L12" s="15">
        <f t="shared" si="4"/>
        <v>8970.8013703401484</v>
      </c>
      <c r="M12" s="15">
        <f t="shared" si="5"/>
        <v>37889.832103673485</v>
      </c>
      <c r="N12" s="16">
        <f t="shared" si="6"/>
        <v>454677.98524408182</v>
      </c>
      <c r="O12" s="17">
        <v>2</v>
      </c>
      <c r="P12" s="18">
        <f t="shared" si="7"/>
        <v>75779.66420734697</v>
      </c>
      <c r="Q12" s="15">
        <f t="shared" si="8"/>
        <v>909355.97048816364</v>
      </c>
      <c r="R12" s="19"/>
      <c r="S12" s="20"/>
    </row>
    <row r="13" spans="1:19" ht="38.25" customHeight="1" x14ac:dyDescent="0.25">
      <c r="A13" s="11" t="s">
        <v>37</v>
      </c>
      <c r="B13" s="215"/>
      <c r="C13" s="215"/>
      <c r="D13" s="204"/>
      <c r="E13" s="12">
        <v>18000</v>
      </c>
      <c r="F13" s="13">
        <f t="shared" si="0"/>
        <v>12906.4208</v>
      </c>
      <c r="G13" s="14">
        <f t="shared" si="1"/>
        <v>30906.4208</v>
      </c>
      <c r="H13" s="15">
        <f>'Anx III - Horas, VT,VR, '!$O$6</f>
        <v>588.1450000000001</v>
      </c>
      <c r="I13" s="15">
        <f>'Anx III - Horas, VT,VR, '!H42</f>
        <v>0</v>
      </c>
      <c r="J13" s="15">
        <f t="shared" si="2"/>
        <v>588.1450000000001</v>
      </c>
      <c r="K13" s="15">
        <f t="shared" si="3"/>
        <v>31494.5658</v>
      </c>
      <c r="L13" s="15">
        <f t="shared" si="4"/>
        <v>9769.7428604081761</v>
      </c>
      <c r="M13" s="15">
        <f t="shared" si="5"/>
        <v>41264.308660408176</v>
      </c>
      <c r="N13" s="16">
        <f t="shared" si="6"/>
        <v>495171.70392489812</v>
      </c>
      <c r="O13" s="17">
        <v>1</v>
      </c>
      <c r="P13" s="18">
        <f t="shared" si="7"/>
        <v>41264.308660408176</v>
      </c>
      <c r="Q13" s="15">
        <f t="shared" si="8"/>
        <v>495171.70392489812</v>
      </c>
      <c r="R13" s="19"/>
      <c r="S13" s="20"/>
    </row>
    <row r="14" spans="1:19" ht="39" customHeight="1" x14ac:dyDescent="0.25">
      <c r="A14" s="216" t="s">
        <v>22</v>
      </c>
      <c r="B14" s="217"/>
      <c r="C14" s="217"/>
      <c r="D14" s="217"/>
      <c r="E14" s="218"/>
      <c r="F14" s="219"/>
      <c r="G14" s="22">
        <f>SUM(G7:G13)</f>
        <v>195696.69209796176</v>
      </c>
      <c r="H14" s="220"/>
      <c r="I14" s="221"/>
      <c r="J14" s="23">
        <f>SUM(J7:J13)</f>
        <v>4117.0150000000003</v>
      </c>
      <c r="K14" s="24">
        <f>SUM(K7:K13)</f>
        <v>199813.7070979618</v>
      </c>
      <c r="L14" s="25"/>
      <c r="M14" s="25"/>
      <c r="N14" s="25"/>
      <c r="O14" s="26">
        <f>SUM(O7:O13)</f>
        <v>28</v>
      </c>
      <c r="P14" s="27">
        <f>Q14/N5</f>
        <v>1078029.4516835657</v>
      </c>
      <c r="Q14" s="27">
        <f>SUM(Q7:Q13)</f>
        <v>12936353.420202788</v>
      </c>
      <c r="R14" s="7"/>
      <c r="S14" s="28"/>
    </row>
    <row r="15" spans="1:19" ht="30" customHeight="1" x14ac:dyDescent="0.25">
      <c r="A15" s="205" t="s">
        <v>23</v>
      </c>
      <c r="B15" s="206"/>
      <c r="C15" s="206"/>
      <c r="D15" s="206"/>
      <c r="E15" s="189"/>
      <c r="F15" s="189"/>
      <c r="G15" s="206"/>
      <c r="H15" s="206"/>
      <c r="I15" s="189"/>
      <c r="J15" s="206"/>
      <c r="K15" s="206"/>
      <c r="L15" s="206"/>
      <c r="M15" s="207"/>
      <c r="N15" s="30" t="s">
        <v>24</v>
      </c>
      <c r="O15" s="30" t="s">
        <v>25</v>
      </c>
      <c r="P15" s="30" t="s">
        <v>26</v>
      </c>
      <c r="Q15" s="30" t="s">
        <v>27</v>
      </c>
      <c r="R15" s="7"/>
      <c r="S15" s="31"/>
    </row>
    <row r="16" spans="1:19" ht="30" customHeight="1" x14ac:dyDescent="0.25">
      <c r="A16" s="208"/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10"/>
      <c r="N16" s="32">
        <v>1</v>
      </c>
      <c r="O16" s="15">
        <v>3300</v>
      </c>
      <c r="P16" s="15">
        <f>Q16/N5</f>
        <v>275</v>
      </c>
      <c r="Q16" s="15">
        <f>O16*N16</f>
        <v>3300</v>
      </c>
      <c r="R16" s="7"/>
      <c r="S16" s="28"/>
    </row>
    <row r="17" spans="1:19" ht="30" customHeight="1" x14ac:dyDescent="0.25">
      <c r="A17" s="205" t="s">
        <v>28</v>
      </c>
      <c r="B17" s="206"/>
      <c r="C17" s="206"/>
      <c r="D17" s="206"/>
      <c r="E17" s="189"/>
      <c r="F17" s="206"/>
      <c r="G17" s="206"/>
      <c r="H17" s="206"/>
      <c r="I17" s="33" t="s">
        <v>0</v>
      </c>
      <c r="J17" s="34" t="s">
        <v>12</v>
      </c>
      <c r="K17" s="34" t="s">
        <v>29</v>
      </c>
      <c r="L17" s="34" t="s">
        <v>13</v>
      </c>
      <c r="M17" s="34" t="s">
        <v>30</v>
      </c>
      <c r="N17" s="34" t="s">
        <v>31</v>
      </c>
      <c r="O17" s="34" t="s">
        <v>32</v>
      </c>
      <c r="P17" s="226">
        <f>SUM(O18:O24)</f>
        <v>63387.175935299667</v>
      </c>
      <c r="Q17" s="227">
        <f>N5*P17</f>
        <v>760646.11122359603</v>
      </c>
      <c r="R17" s="7"/>
      <c r="S17" s="31"/>
    </row>
    <row r="18" spans="1:19" ht="30" customHeight="1" x14ac:dyDescent="0.25">
      <c r="A18" s="208"/>
      <c r="B18" s="209"/>
      <c r="C18" s="209"/>
      <c r="D18" s="209"/>
      <c r="E18" s="209"/>
      <c r="F18" s="209"/>
      <c r="G18" s="209"/>
      <c r="H18" s="209"/>
      <c r="I18" s="35" t="s">
        <v>33</v>
      </c>
      <c r="J18" s="36">
        <f t="shared" ref="J18:J24" si="9">E7</f>
        <v>20062.830000000002</v>
      </c>
      <c r="K18" s="229">
        <v>0.06</v>
      </c>
      <c r="L18" s="228">
        <f>F6</f>
        <v>0.7170233777777778</v>
      </c>
      <c r="M18" s="228">
        <f>L6</f>
        <v>0.31020408163265345</v>
      </c>
      <c r="N18" s="37">
        <f t="shared" ref="N18:N24" si="10">O7</f>
        <v>5</v>
      </c>
      <c r="O18" s="38">
        <f t="shared" ref="O18:O24" si="11">((J18*$K$18)+(J18*$K$18*$L$18)+((J18*$K$18)+(J18*$K$18*$L$18))*$M$18)*N18</f>
        <v>13540.309899350706</v>
      </c>
      <c r="P18" s="199"/>
      <c r="Q18" s="199"/>
      <c r="R18" s="7"/>
      <c r="S18" s="31"/>
    </row>
    <row r="19" spans="1:19" ht="30" customHeight="1" x14ac:dyDescent="0.25">
      <c r="A19" s="222"/>
      <c r="B19" s="206"/>
      <c r="C19" s="206"/>
      <c r="D19" s="206"/>
      <c r="E19" s="206"/>
      <c r="F19" s="206"/>
      <c r="G19" s="206"/>
      <c r="H19" s="206"/>
      <c r="I19" s="35" t="s">
        <v>21</v>
      </c>
      <c r="J19" s="36">
        <f t="shared" si="9"/>
        <v>17094.2</v>
      </c>
      <c r="K19" s="199"/>
      <c r="L19" s="199"/>
      <c r="M19" s="199"/>
      <c r="N19" s="37">
        <f t="shared" si="10"/>
        <v>13</v>
      </c>
      <c r="O19" s="38">
        <f t="shared" si="11"/>
        <v>29995.668121189796</v>
      </c>
      <c r="P19" s="199"/>
      <c r="Q19" s="199"/>
      <c r="R19" s="7"/>
      <c r="S19" s="31"/>
    </row>
    <row r="20" spans="1:19" ht="30" customHeight="1" x14ac:dyDescent="0.25">
      <c r="A20" s="208"/>
      <c r="B20" s="209"/>
      <c r="C20" s="209"/>
      <c r="D20" s="209"/>
      <c r="E20" s="209"/>
      <c r="F20" s="209"/>
      <c r="G20" s="209"/>
      <c r="H20" s="209"/>
      <c r="I20" s="35" t="s">
        <v>34</v>
      </c>
      <c r="J20" s="36">
        <f t="shared" si="9"/>
        <v>11434</v>
      </c>
      <c r="K20" s="199"/>
      <c r="L20" s="199"/>
      <c r="M20" s="199"/>
      <c r="N20" s="37">
        <f t="shared" si="10"/>
        <v>3</v>
      </c>
      <c r="O20" s="38">
        <f t="shared" si="11"/>
        <v>4630.0517939645406</v>
      </c>
      <c r="P20" s="199"/>
      <c r="Q20" s="199"/>
      <c r="R20" s="7"/>
      <c r="S20" s="31"/>
    </row>
    <row r="21" spans="1:19" ht="30" customHeight="1" x14ac:dyDescent="0.25">
      <c r="A21" s="222"/>
      <c r="B21" s="206"/>
      <c r="C21" s="206"/>
      <c r="D21" s="206"/>
      <c r="E21" s="206"/>
      <c r="F21" s="206"/>
      <c r="G21" s="206"/>
      <c r="H21" s="206"/>
      <c r="I21" s="35" t="s">
        <v>35</v>
      </c>
      <c r="J21" s="36">
        <f t="shared" si="9"/>
        <v>15715.11</v>
      </c>
      <c r="K21" s="199"/>
      <c r="L21" s="199"/>
      <c r="M21" s="199"/>
      <c r="N21" s="37">
        <f t="shared" si="10"/>
        <v>2</v>
      </c>
      <c r="O21" s="38">
        <f t="shared" si="11"/>
        <v>4242.4216225205573</v>
      </c>
      <c r="P21" s="199"/>
      <c r="Q21" s="199"/>
      <c r="R21" s="7"/>
      <c r="S21" s="31"/>
    </row>
    <row r="22" spans="1:19" ht="30" customHeight="1" x14ac:dyDescent="0.25">
      <c r="A22" s="208"/>
      <c r="B22" s="209"/>
      <c r="C22" s="209"/>
      <c r="D22" s="209"/>
      <c r="E22" s="209"/>
      <c r="F22" s="209"/>
      <c r="G22" s="209"/>
      <c r="H22" s="209"/>
      <c r="I22" s="35" t="s">
        <v>175</v>
      </c>
      <c r="J22" s="36">
        <f t="shared" si="9"/>
        <v>15168.25</v>
      </c>
      <c r="K22" s="199"/>
      <c r="L22" s="199"/>
      <c r="M22" s="199"/>
      <c r="N22" s="37">
        <f t="shared" si="10"/>
        <v>2</v>
      </c>
      <c r="O22" s="38">
        <f t="shared" si="11"/>
        <v>4094.7923225352824</v>
      </c>
      <c r="P22" s="199"/>
      <c r="Q22" s="199"/>
      <c r="R22" s="7"/>
      <c r="S22" s="31"/>
    </row>
    <row r="23" spans="1:19" ht="30" customHeight="1" x14ac:dyDescent="0.25">
      <c r="A23" s="222"/>
      <c r="B23" s="206"/>
      <c r="C23" s="206"/>
      <c r="D23" s="206"/>
      <c r="E23" s="206"/>
      <c r="F23" s="206"/>
      <c r="G23" s="206"/>
      <c r="H23" s="206"/>
      <c r="I23" s="35" t="s">
        <v>36</v>
      </c>
      <c r="J23" s="36">
        <f t="shared" si="9"/>
        <v>16500</v>
      </c>
      <c r="K23" s="199"/>
      <c r="L23" s="199"/>
      <c r="M23" s="199"/>
      <c r="N23" s="37">
        <f t="shared" si="10"/>
        <v>2</v>
      </c>
      <c r="O23" s="38">
        <f t="shared" si="11"/>
        <v>4454.3090548897981</v>
      </c>
      <c r="P23" s="199"/>
      <c r="Q23" s="199"/>
      <c r="R23" s="7"/>
      <c r="S23" s="31"/>
    </row>
    <row r="24" spans="1:19" ht="30" customHeight="1" x14ac:dyDescent="0.25">
      <c r="A24" s="208"/>
      <c r="B24" s="209"/>
      <c r="C24" s="209"/>
      <c r="D24" s="209"/>
      <c r="E24" s="209"/>
      <c r="F24" s="209"/>
      <c r="G24" s="209"/>
      <c r="H24" s="209"/>
      <c r="I24" s="35" t="s">
        <v>37</v>
      </c>
      <c r="J24" s="36">
        <f t="shared" si="9"/>
        <v>18000</v>
      </c>
      <c r="K24" s="199"/>
      <c r="L24" s="199"/>
      <c r="M24" s="199"/>
      <c r="N24" s="37">
        <f t="shared" si="10"/>
        <v>1</v>
      </c>
      <c r="O24" s="38">
        <f t="shared" si="11"/>
        <v>2429.6231208489803</v>
      </c>
      <c r="P24" s="199"/>
      <c r="Q24" s="199"/>
      <c r="R24" s="7"/>
      <c r="S24" s="31"/>
    </row>
    <row r="25" spans="1:19" ht="30" customHeight="1" x14ac:dyDescent="0.25">
      <c r="A25" s="211" t="s">
        <v>38</v>
      </c>
      <c r="B25" s="212"/>
      <c r="C25" s="212"/>
      <c r="D25" s="212"/>
      <c r="E25" s="213"/>
      <c r="F25" s="213"/>
      <c r="G25" s="212"/>
      <c r="H25" s="212"/>
      <c r="I25" s="189"/>
      <c r="J25" s="206"/>
      <c r="K25" s="206"/>
      <c r="L25" s="206"/>
      <c r="M25" s="207"/>
      <c r="N25" s="30" t="s">
        <v>24</v>
      </c>
      <c r="O25" s="30" t="s">
        <v>25</v>
      </c>
      <c r="P25" s="30" t="s">
        <v>26</v>
      </c>
      <c r="Q25" s="30" t="s">
        <v>27</v>
      </c>
      <c r="R25" s="7"/>
      <c r="S25" s="31"/>
    </row>
    <row r="26" spans="1:19" ht="30" customHeight="1" x14ac:dyDescent="0.25">
      <c r="A26" s="208"/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10"/>
      <c r="N26" s="32">
        <f>O14</f>
        <v>28</v>
      </c>
      <c r="O26" s="15">
        <v>160.07</v>
      </c>
      <c r="P26" s="15">
        <f>N26*O26</f>
        <v>4481.96</v>
      </c>
      <c r="Q26" s="15">
        <f>P26*N5</f>
        <v>53783.520000000004</v>
      </c>
      <c r="R26" s="7"/>
      <c r="S26" s="31"/>
    </row>
    <row r="27" spans="1:19" ht="38.25" customHeight="1" x14ac:dyDescent="0.25">
      <c r="A27" s="194" t="s">
        <v>39</v>
      </c>
      <c r="B27" s="195"/>
      <c r="C27" s="195"/>
      <c r="D27" s="195"/>
      <c r="E27" s="196"/>
      <c r="F27" s="196"/>
      <c r="G27" s="195"/>
      <c r="H27" s="195"/>
      <c r="I27" s="196"/>
      <c r="J27" s="195"/>
      <c r="K27" s="195"/>
      <c r="L27" s="195"/>
      <c r="M27" s="195"/>
      <c r="N27" s="196"/>
      <c r="O27" s="197"/>
      <c r="P27" s="40">
        <f>SUM(P15:P26)</f>
        <v>68144.135935299666</v>
      </c>
      <c r="Q27" s="27">
        <f>SUM(Q15:Q26)</f>
        <v>817729.63122359605</v>
      </c>
      <c r="R27" s="7"/>
      <c r="S27" s="28"/>
    </row>
    <row r="28" spans="1:19" ht="36.75" customHeight="1" x14ac:dyDescent="0.25">
      <c r="A28" s="187" t="s">
        <v>40</v>
      </c>
      <c r="B28" s="188"/>
      <c r="C28" s="188"/>
      <c r="D28" s="188"/>
      <c r="E28" s="189"/>
      <c r="F28" s="189"/>
      <c r="G28" s="188"/>
      <c r="H28" s="188"/>
      <c r="I28" s="189"/>
      <c r="J28" s="188"/>
      <c r="K28" s="188"/>
      <c r="L28" s="188"/>
      <c r="M28" s="188"/>
      <c r="N28" s="189"/>
      <c r="O28" s="190"/>
      <c r="P28" s="41" t="s">
        <v>41</v>
      </c>
      <c r="Q28" s="42" t="s">
        <v>42</v>
      </c>
      <c r="R28" s="7"/>
      <c r="S28" s="31"/>
    </row>
    <row r="29" spans="1:19" ht="42" customHeight="1" x14ac:dyDescent="0.25">
      <c r="A29" s="191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3"/>
      <c r="P29" s="43">
        <f>P14+P27</f>
        <v>1146173.5876188653</v>
      </c>
      <c r="Q29" s="44">
        <f>P29*N5</f>
        <v>13754083.051426385</v>
      </c>
      <c r="R29" s="7"/>
      <c r="S29" s="31"/>
    </row>
    <row r="30" spans="1:19" ht="24" customHeight="1" x14ac:dyDescent="0.35">
      <c r="A30" s="45"/>
      <c r="B30" s="46"/>
      <c r="C30" s="46"/>
      <c r="D30" s="46"/>
      <c r="E30" s="46"/>
      <c r="F30" s="46"/>
      <c r="G30" s="46"/>
      <c r="H30" s="46"/>
      <c r="I30" s="47"/>
      <c r="J30" s="46"/>
      <c r="K30" s="46"/>
      <c r="L30" s="46"/>
      <c r="M30" s="46"/>
      <c r="N30" s="46"/>
      <c r="O30" s="46"/>
      <c r="P30" s="46"/>
      <c r="Q30" s="46"/>
      <c r="R30" s="48"/>
      <c r="S30" s="31"/>
    </row>
    <row r="31" spans="1:19" ht="13.5" customHeight="1" x14ac:dyDescent="0.25">
      <c r="A31" s="4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31"/>
    </row>
    <row r="32" spans="1:19" ht="13.5" customHeight="1" x14ac:dyDescent="0.25">
      <c r="A32" s="49"/>
      <c r="B32" s="48"/>
      <c r="C32" s="48"/>
      <c r="D32" s="48"/>
      <c r="E32" s="48"/>
      <c r="F32" s="48"/>
      <c r="G32" s="48"/>
      <c r="H32" s="48"/>
      <c r="I32" s="48"/>
      <c r="J32" s="48"/>
      <c r="K32" s="50"/>
      <c r="L32" s="48"/>
      <c r="M32" s="48"/>
      <c r="N32" s="48"/>
      <c r="O32" s="48"/>
      <c r="P32" s="51"/>
      <c r="Q32" s="51"/>
      <c r="R32" s="48"/>
      <c r="S32" s="31"/>
    </row>
    <row r="33" spans="1:19" ht="13.5" customHeight="1" x14ac:dyDescent="0.25">
      <c r="A33" s="5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4"/>
      <c r="S33" s="55"/>
    </row>
  </sheetData>
  <mergeCells count="34">
    <mergeCell ref="K2:K6"/>
    <mergeCell ref="P2:P6"/>
    <mergeCell ref="L2:L5"/>
    <mergeCell ref="M2:M6"/>
    <mergeCell ref="A1:Q1"/>
    <mergeCell ref="Q2:Q6"/>
    <mergeCell ref="E3:E6"/>
    <mergeCell ref="D2:D6"/>
    <mergeCell ref="J3:J6"/>
    <mergeCell ref="A2:A6"/>
    <mergeCell ref="B2:C6"/>
    <mergeCell ref="E2:G2"/>
    <mergeCell ref="H2:J2"/>
    <mergeCell ref="P17:P24"/>
    <mergeCell ref="Q17:Q24"/>
    <mergeCell ref="M18:M24"/>
    <mergeCell ref="L18:L24"/>
    <mergeCell ref="K18:K24"/>
    <mergeCell ref="A28:O29"/>
    <mergeCell ref="A27:O27"/>
    <mergeCell ref="O2:O6"/>
    <mergeCell ref="D7:D13"/>
    <mergeCell ref="A15:M16"/>
    <mergeCell ref="A25:M26"/>
    <mergeCell ref="B7:B13"/>
    <mergeCell ref="C7:C13"/>
    <mergeCell ref="A14:F14"/>
    <mergeCell ref="H14:I14"/>
    <mergeCell ref="A17:H24"/>
    <mergeCell ref="F3:F5"/>
    <mergeCell ref="G3:G6"/>
    <mergeCell ref="H3:H6"/>
    <mergeCell ref="I3:I6"/>
    <mergeCell ref="N2:N4"/>
  </mergeCells>
  <pageMargins left="0.51181100000000002" right="0.51181100000000002" top="0.78740200000000005" bottom="0.78740200000000005" header="0.31496099999999999" footer="0.31496099999999999"/>
  <pageSetup orientation="landscape"/>
  <headerFooter>
    <oddHeader>&amp;C&amp;"Arial,Regular"&amp;26&amp;K000000Supremo Tribunal Federal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6"/>
  <sheetViews>
    <sheetView showGridLines="0" workbookViewId="0">
      <selection activeCell="D7" sqref="D7:E7"/>
    </sheetView>
  </sheetViews>
  <sheetFormatPr defaultColWidth="8.85546875" defaultRowHeight="12.75" customHeight="1" x14ac:dyDescent="0.25"/>
  <cols>
    <col min="1" max="1" width="9.140625" style="56" customWidth="1"/>
    <col min="2" max="2" width="9.42578125" style="56" customWidth="1"/>
    <col min="3" max="3" width="68" style="56" customWidth="1"/>
    <col min="4" max="4" width="13.28515625" style="56" customWidth="1"/>
    <col min="5" max="5" width="12.140625" style="56" customWidth="1"/>
    <col min="6" max="6" width="4.140625" style="56" customWidth="1"/>
    <col min="7" max="7" width="42.140625" style="56" customWidth="1"/>
    <col min="8" max="8" width="15.42578125" style="56" customWidth="1"/>
    <col min="9" max="9" width="9.140625" style="56" customWidth="1"/>
    <col min="10" max="11" width="14.42578125" style="56" customWidth="1"/>
    <col min="12" max="13" width="9.140625" style="56" customWidth="1"/>
    <col min="14" max="14" width="10.85546875" style="56" customWidth="1"/>
    <col min="15" max="15" width="8.85546875" style="56" customWidth="1"/>
    <col min="16" max="16384" width="8.85546875" style="56"/>
  </cols>
  <sheetData>
    <row r="1" spans="1:14" ht="12.75" customHeight="1" x14ac:dyDescent="0.25">
      <c r="A1" s="57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1:14" ht="12.75" customHeight="1" x14ac:dyDescent="0.25">
      <c r="A2" s="49"/>
      <c r="B2" s="272" t="s">
        <v>43</v>
      </c>
      <c r="C2" s="273"/>
      <c r="D2" s="273"/>
      <c r="E2" s="273"/>
      <c r="F2" s="60"/>
      <c r="G2" s="60"/>
      <c r="H2" s="60"/>
      <c r="I2" s="61"/>
      <c r="J2" s="61"/>
      <c r="K2" s="48"/>
      <c r="L2" s="48"/>
      <c r="M2" s="48"/>
      <c r="N2" s="31"/>
    </row>
    <row r="3" spans="1:14" ht="15.75" customHeight="1" x14ac:dyDescent="0.25">
      <c r="A3" s="49"/>
      <c r="B3" s="274" t="s">
        <v>44</v>
      </c>
      <c r="C3" s="275"/>
      <c r="D3" s="275"/>
      <c r="E3" s="275"/>
      <c r="F3" s="60"/>
      <c r="G3" s="274" t="s">
        <v>45</v>
      </c>
      <c r="H3" s="275"/>
      <c r="I3" s="275"/>
      <c r="J3" s="275"/>
      <c r="K3" s="275"/>
      <c r="L3" s="48"/>
      <c r="M3" s="48"/>
      <c r="N3" s="31"/>
    </row>
    <row r="4" spans="1:14" ht="40.5" customHeight="1" x14ac:dyDescent="0.25">
      <c r="A4" s="62"/>
      <c r="B4" s="276" t="s">
        <v>46</v>
      </c>
      <c r="C4" s="278" t="s">
        <v>47</v>
      </c>
      <c r="D4" s="278" t="s">
        <v>48</v>
      </c>
      <c r="E4" s="280"/>
      <c r="F4" s="63"/>
      <c r="G4" s="281" t="s">
        <v>49</v>
      </c>
      <c r="H4" s="282"/>
      <c r="I4" s="283"/>
      <c r="J4" s="287" t="s">
        <v>50</v>
      </c>
      <c r="K4" s="287" t="s">
        <v>51</v>
      </c>
      <c r="L4" s="7"/>
      <c r="M4" s="48"/>
      <c r="N4" s="31"/>
    </row>
    <row r="5" spans="1:14" ht="13.5" customHeight="1" x14ac:dyDescent="0.25">
      <c r="A5" s="62"/>
      <c r="B5" s="277"/>
      <c r="C5" s="279"/>
      <c r="D5" s="64">
        <v>0.03</v>
      </c>
      <c r="E5" s="65">
        <v>2</v>
      </c>
      <c r="F5" s="63"/>
      <c r="G5" s="284"/>
      <c r="H5" s="285"/>
      <c r="I5" s="286"/>
      <c r="J5" s="288"/>
      <c r="K5" s="288"/>
      <c r="L5" s="7"/>
      <c r="M5" s="48"/>
      <c r="N5" s="31"/>
    </row>
    <row r="6" spans="1:14" ht="12.75" customHeight="1" x14ac:dyDescent="0.25">
      <c r="A6" s="62"/>
      <c r="B6" s="263" t="s">
        <v>52</v>
      </c>
      <c r="C6" s="264"/>
      <c r="D6" s="263" t="s">
        <v>53</v>
      </c>
      <c r="E6" s="264"/>
      <c r="F6" s="63"/>
      <c r="G6" s="289" t="s">
        <v>54</v>
      </c>
      <c r="H6" s="290"/>
      <c r="I6" s="291"/>
      <c r="J6" s="67" t="s">
        <v>53</v>
      </c>
      <c r="K6" s="67" t="s">
        <v>53</v>
      </c>
      <c r="L6" s="7"/>
      <c r="M6" s="48"/>
      <c r="N6" s="31"/>
    </row>
    <row r="7" spans="1:14" ht="12.75" customHeight="1" x14ac:dyDescent="0.25">
      <c r="A7" s="62"/>
      <c r="B7" s="68">
        <v>1</v>
      </c>
      <c r="C7" s="69" t="s">
        <v>55</v>
      </c>
      <c r="D7" s="261">
        <v>0.2</v>
      </c>
      <c r="E7" s="261"/>
      <c r="F7" s="63"/>
      <c r="G7" s="270" t="s">
        <v>56</v>
      </c>
      <c r="H7" s="271"/>
      <c r="I7" s="67" t="s">
        <v>57</v>
      </c>
      <c r="J7" s="71">
        <v>0.05</v>
      </c>
      <c r="K7" s="71">
        <v>0.05</v>
      </c>
      <c r="L7" s="7"/>
      <c r="M7" s="48"/>
      <c r="N7" s="31"/>
    </row>
    <row r="8" spans="1:14" ht="12.75" customHeight="1" x14ac:dyDescent="0.25">
      <c r="A8" s="62"/>
      <c r="B8" s="68">
        <v>2</v>
      </c>
      <c r="C8" s="69" t="s">
        <v>58</v>
      </c>
      <c r="D8" s="261">
        <v>1.4999999999999999E-2</v>
      </c>
      <c r="E8" s="261"/>
      <c r="F8" s="63"/>
      <c r="G8" s="270" t="s">
        <v>59</v>
      </c>
      <c r="H8" s="271"/>
      <c r="I8" s="67" t="s">
        <v>60</v>
      </c>
      <c r="J8" s="71">
        <v>7.0000000000000007E-2</v>
      </c>
      <c r="K8" s="71">
        <v>7.0000000000000007E-2</v>
      </c>
      <c r="L8" s="7"/>
      <c r="M8" s="48"/>
      <c r="N8" s="31"/>
    </row>
    <row r="9" spans="1:14" ht="12.75" customHeight="1" x14ac:dyDescent="0.25">
      <c r="A9" s="62"/>
      <c r="B9" s="68">
        <v>3</v>
      </c>
      <c r="C9" s="69" t="s">
        <v>61</v>
      </c>
      <c r="D9" s="261">
        <v>0.01</v>
      </c>
      <c r="E9" s="261"/>
      <c r="F9" s="63"/>
      <c r="G9" s="72" t="s">
        <v>62</v>
      </c>
      <c r="H9" s="73"/>
      <c r="I9" s="67" t="s">
        <v>63</v>
      </c>
      <c r="J9" s="71">
        <f>SUM(J10:J13)</f>
        <v>8.6500000000000007E-2</v>
      </c>
      <c r="K9" s="71">
        <f>SUM(K10:K13)</f>
        <v>0.14250000000000002</v>
      </c>
      <c r="L9" s="7"/>
      <c r="M9" s="48"/>
      <c r="N9" s="31"/>
    </row>
    <row r="10" spans="1:14" ht="12.75" customHeight="1" x14ac:dyDescent="0.25">
      <c r="A10" s="62"/>
      <c r="B10" s="68">
        <v>4</v>
      </c>
      <c r="C10" s="69" t="s">
        <v>64</v>
      </c>
      <c r="D10" s="261">
        <v>2E-3</v>
      </c>
      <c r="E10" s="261"/>
      <c r="F10" s="63"/>
      <c r="G10" s="7"/>
      <c r="H10" s="74"/>
      <c r="I10" s="67" t="s">
        <v>65</v>
      </c>
      <c r="J10" s="75">
        <v>0.05</v>
      </c>
      <c r="K10" s="75">
        <v>0.05</v>
      </c>
      <c r="L10" s="7"/>
      <c r="M10" s="48"/>
      <c r="N10" s="31"/>
    </row>
    <row r="11" spans="1:14" ht="12.75" customHeight="1" x14ac:dyDescent="0.25">
      <c r="A11" s="62"/>
      <c r="B11" s="68">
        <v>5</v>
      </c>
      <c r="C11" s="69" t="s">
        <v>66</v>
      </c>
      <c r="D11" s="261">
        <v>2.5000000000000001E-2</v>
      </c>
      <c r="E11" s="261"/>
      <c r="F11" s="63"/>
      <c r="G11" s="7"/>
      <c r="H11" s="74"/>
      <c r="I11" s="67" t="s">
        <v>67</v>
      </c>
      <c r="J11" s="75">
        <v>0.03</v>
      </c>
      <c r="K11" s="75">
        <v>7.5999999999999998E-2</v>
      </c>
      <c r="L11" s="7"/>
      <c r="M11" s="48"/>
      <c r="N11" s="31"/>
    </row>
    <row r="12" spans="1:14" ht="12.75" customHeight="1" x14ac:dyDescent="0.25">
      <c r="A12" s="62"/>
      <c r="B12" s="68">
        <v>6</v>
      </c>
      <c r="C12" s="69" t="s">
        <v>68</v>
      </c>
      <c r="D12" s="261">
        <v>0.08</v>
      </c>
      <c r="E12" s="261"/>
      <c r="F12" s="63"/>
      <c r="G12" s="7"/>
      <c r="H12" s="74"/>
      <c r="I12" s="67" t="s">
        <v>69</v>
      </c>
      <c r="J12" s="75">
        <v>6.4999999999999997E-3</v>
      </c>
      <c r="K12" s="75">
        <v>1.6500000000000001E-2</v>
      </c>
      <c r="L12" s="7"/>
      <c r="M12" s="48"/>
      <c r="N12" s="31"/>
    </row>
    <row r="13" spans="1:14" ht="12.75" customHeight="1" x14ac:dyDescent="0.25">
      <c r="A13" s="62"/>
      <c r="B13" s="68">
        <v>7</v>
      </c>
      <c r="C13" s="69" t="s">
        <v>70</v>
      </c>
      <c r="D13" s="261">
        <f>D5*E5</f>
        <v>0.06</v>
      </c>
      <c r="E13" s="261"/>
      <c r="F13" s="63"/>
      <c r="G13" s="76"/>
      <c r="H13" s="77"/>
      <c r="I13" s="67" t="s">
        <v>71</v>
      </c>
      <c r="J13" s="75">
        <v>0</v>
      </c>
      <c r="K13" s="75">
        <v>0</v>
      </c>
      <c r="L13" s="7"/>
      <c r="M13" s="48"/>
      <c r="N13" s="31"/>
    </row>
    <row r="14" spans="1:14" ht="13.5" customHeight="1" x14ac:dyDescent="0.25">
      <c r="A14" s="62"/>
      <c r="B14" s="68">
        <v>8</v>
      </c>
      <c r="C14" s="69" t="s">
        <v>72</v>
      </c>
      <c r="D14" s="261">
        <v>6.0000000000000001E-3</v>
      </c>
      <c r="E14" s="261"/>
      <c r="F14" s="63"/>
      <c r="G14" s="265" t="s">
        <v>73</v>
      </c>
      <c r="H14" s="266"/>
      <c r="I14" s="267"/>
      <c r="J14" s="78">
        <f>(((1+J7)*(1+J8))/(1-J9))-1</f>
        <v>0.22988505747126453</v>
      </c>
      <c r="K14" s="78">
        <f>(((1+K7)*(1+K8))/(1-K9))-1</f>
        <v>0.31020408163265345</v>
      </c>
      <c r="L14" s="7"/>
      <c r="M14" s="48"/>
      <c r="N14" s="31"/>
    </row>
    <row r="15" spans="1:14" ht="13.5" customHeight="1" x14ac:dyDescent="0.25">
      <c r="A15" s="62"/>
      <c r="B15" s="259" t="s">
        <v>74</v>
      </c>
      <c r="C15" s="260"/>
      <c r="D15" s="262">
        <f>SUM(D7:D14)</f>
        <v>0.39800000000000008</v>
      </c>
      <c r="E15" s="262"/>
      <c r="F15" s="79"/>
      <c r="G15" s="268" t="s">
        <v>75</v>
      </c>
      <c r="H15" s="269"/>
      <c r="I15" s="80"/>
      <c r="J15" s="80"/>
      <c r="K15" s="81"/>
      <c r="L15" s="7"/>
      <c r="M15" s="48"/>
      <c r="N15" s="31"/>
    </row>
    <row r="16" spans="1:14" ht="12.75" customHeight="1" x14ac:dyDescent="0.25">
      <c r="A16" s="62"/>
      <c r="B16" s="263" t="s">
        <v>76</v>
      </c>
      <c r="C16" s="264"/>
      <c r="D16" s="263" t="s">
        <v>53</v>
      </c>
      <c r="E16" s="264"/>
      <c r="F16" s="63"/>
      <c r="G16" s="7"/>
      <c r="H16" s="48"/>
      <c r="I16" s="48"/>
      <c r="J16" s="48"/>
      <c r="K16" s="74"/>
      <c r="L16" s="7"/>
      <c r="M16" s="48"/>
      <c r="N16" s="31"/>
    </row>
    <row r="17" spans="1:14" ht="27.75" customHeight="1" x14ac:dyDescent="0.25">
      <c r="A17" s="62"/>
      <c r="B17" s="82"/>
      <c r="C17" s="83"/>
      <c r="D17" s="84" t="s">
        <v>77</v>
      </c>
      <c r="E17" s="85" t="s">
        <v>78</v>
      </c>
      <c r="F17" s="63"/>
      <c r="G17" s="7"/>
      <c r="H17" s="48"/>
      <c r="I17" s="48"/>
      <c r="J17" s="48"/>
      <c r="K17" s="74"/>
      <c r="L17" s="7"/>
      <c r="M17" s="48"/>
      <c r="N17" s="31"/>
    </row>
    <row r="18" spans="1:14" ht="12.75" customHeight="1" x14ac:dyDescent="0.25">
      <c r="A18" s="62"/>
      <c r="B18" s="68">
        <v>9</v>
      </c>
      <c r="C18" s="69" t="s">
        <v>79</v>
      </c>
      <c r="D18" s="86">
        <f t="shared" ref="D18:D19" si="0">1/12</f>
        <v>8.3333333333333329E-2</v>
      </c>
      <c r="E18" s="86">
        <f t="shared" ref="E18:E19" si="1">1/11</f>
        <v>9.0909090909090912E-2</v>
      </c>
      <c r="F18" s="63"/>
      <c r="G18" s="87" t="s">
        <v>80</v>
      </c>
      <c r="H18" s="88"/>
      <c r="I18" s="48"/>
      <c r="J18" s="48"/>
      <c r="K18" s="74"/>
      <c r="L18" s="7"/>
      <c r="M18" s="48"/>
      <c r="N18" s="31"/>
    </row>
    <row r="19" spans="1:14" ht="12.75" customHeight="1" x14ac:dyDescent="0.25">
      <c r="A19" s="62"/>
      <c r="B19" s="68">
        <v>10</v>
      </c>
      <c r="C19" s="69" t="s">
        <v>81</v>
      </c>
      <c r="D19" s="86">
        <f t="shared" si="0"/>
        <v>8.3333333333333329E-2</v>
      </c>
      <c r="E19" s="86">
        <f t="shared" si="1"/>
        <v>9.0909090909090912E-2</v>
      </c>
      <c r="F19" s="63"/>
      <c r="G19" s="89" t="s">
        <v>82</v>
      </c>
      <c r="H19" s="48"/>
      <c r="I19" s="48"/>
      <c r="J19" s="48"/>
      <c r="K19" s="74"/>
      <c r="L19" s="7"/>
      <c r="M19" s="48"/>
      <c r="N19" s="31"/>
    </row>
    <row r="20" spans="1:14" ht="12.75" customHeight="1" x14ac:dyDescent="0.25">
      <c r="A20" s="62"/>
      <c r="B20" s="68">
        <v>11</v>
      </c>
      <c r="C20" s="69" t="s">
        <v>83</v>
      </c>
      <c r="D20" s="86">
        <f>1/3/12</f>
        <v>2.7777777777777776E-2</v>
      </c>
      <c r="E20" s="86">
        <f>1/3/11</f>
        <v>3.03030303030303E-2</v>
      </c>
      <c r="F20" s="63"/>
      <c r="G20" s="89" t="s">
        <v>84</v>
      </c>
      <c r="H20" s="48"/>
      <c r="I20" s="48"/>
      <c r="J20" s="48"/>
      <c r="K20" s="74"/>
      <c r="L20" s="7"/>
      <c r="M20" s="48"/>
      <c r="N20" s="31"/>
    </row>
    <row r="21" spans="1:14" ht="13.5" customHeight="1" x14ac:dyDescent="0.25">
      <c r="A21" s="62"/>
      <c r="B21" s="68">
        <v>12</v>
      </c>
      <c r="C21" s="90" t="s">
        <v>85</v>
      </c>
      <c r="D21" s="86">
        <v>1.3899999999999999E-2</v>
      </c>
      <c r="E21" s="86">
        <v>1.3899999999999999E-2</v>
      </c>
      <c r="F21" s="63"/>
      <c r="G21" s="91" t="s">
        <v>86</v>
      </c>
      <c r="H21" s="92"/>
      <c r="I21" s="92"/>
      <c r="J21" s="92"/>
      <c r="K21" s="93"/>
      <c r="L21" s="7"/>
      <c r="M21" s="48"/>
      <c r="N21" s="31"/>
    </row>
    <row r="22" spans="1:14" ht="13.5" customHeight="1" x14ac:dyDescent="0.25">
      <c r="A22" s="62"/>
      <c r="B22" s="68">
        <v>13</v>
      </c>
      <c r="C22" s="94" t="s">
        <v>87</v>
      </c>
      <c r="D22" s="86">
        <v>2.0000000000000001E-4</v>
      </c>
      <c r="E22" s="86">
        <v>2.0000000000000001E-4</v>
      </c>
      <c r="F22" s="63"/>
      <c r="G22" s="95" t="s">
        <v>88</v>
      </c>
      <c r="H22" s="96"/>
      <c r="I22" s="96"/>
      <c r="J22" s="96"/>
      <c r="K22" s="97"/>
      <c r="L22" s="7"/>
      <c r="M22" s="48"/>
      <c r="N22" s="31"/>
    </row>
    <row r="23" spans="1:14" ht="13.5" customHeight="1" x14ac:dyDescent="0.25">
      <c r="A23" s="62"/>
      <c r="B23" s="68">
        <v>14</v>
      </c>
      <c r="C23" s="69" t="s">
        <v>89</v>
      </c>
      <c r="D23" s="86">
        <v>2.8E-3</v>
      </c>
      <c r="E23" s="86">
        <v>2.8E-3</v>
      </c>
      <c r="F23" s="63"/>
      <c r="G23" s="98" t="s">
        <v>90</v>
      </c>
      <c r="H23" s="99"/>
      <c r="I23" s="100"/>
      <c r="J23" s="100"/>
      <c r="K23" s="101"/>
      <c r="L23" s="7"/>
      <c r="M23" s="48"/>
      <c r="N23" s="31"/>
    </row>
    <row r="24" spans="1:14" ht="13.5" customHeight="1" x14ac:dyDescent="0.25">
      <c r="A24" s="62"/>
      <c r="B24" s="68">
        <v>15</v>
      </c>
      <c r="C24" s="69" t="s">
        <v>91</v>
      </c>
      <c r="D24" s="86">
        <v>2.9999999999999997E-4</v>
      </c>
      <c r="E24" s="86">
        <v>2.9999999999999997E-4</v>
      </c>
      <c r="F24" s="102"/>
      <c r="G24" s="103"/>
      <c r="H24" s="103"/>
      <c r="I24" s="46"/>
      <c r="J24" s="46"/>
      <c r="K24" s="46"/>
      <c r="L24" s="48"/>
      <c r="M24" s="48"/>
      <c r="N24" s="31"/>
    </row>
    <row r="25" spans="1:14" ht="13.5" customHeight="1" x14ac:dyDescent="0.25">
      <c r="A25" s="62"/>
      <c r="B25" s="259" t="s">
        <v>92</v>
      </c>
      <c r="C25" s="260"/>
      <c r="D25" s="104">
        <f>SUM(D18:D24)</f>
        <v>0.21164444444444441</v>
      </c>
      <c r="E25" s="104">
        <f>SUM(E18:E24)</f>
        <v>0.22932121212121212</v>
      </c>
      <c r="F25" s="105"/>
      <c r="G25" s="257" t="s">
        <v>93</v>
      </c>
      <c r="H25" s="258"/>
      <c r="I25" s="258"/>
      <c r="J25" s="258"/>
      <c r="K25" s="258"/>
      <c r="L25" s="48"/>
      <c r="M25" s="48"/>
      <c r="N25" s="31"/>
    </row>
    <row r="26" spans="1:14" ht="25.5" customHeight="1" x14ac:dyDescent="0.25">
      <c r="A26" s="62"/>
      <c r="B26" s="263" t="s">
        <v>94</v>
      </c>
      <c r="C26" s="264"/>
      <c r="D26" s="263" t="s">
        <v>53</v>
      </c>
      <c r="E26" s="264"/>
      <c r="F26" s="79"/>
      <c r="G26" s="243" t="s">
        <v>46</v>
      </c>
      <c r="H26" s="244"/>
      <c r="I26" s="245"/>
      <c r="J26" s="84" t="s">
        <v>77</v>
      </c>
      <c r="K26" s="85" t="s">
        <v>78</v>
      </c>
      <c r="L26" s="7"/>
      <c r="M26" s="48"/>
      <c r="N26" s="31"/>
    </row>
    <row r="27" spans="1:14" ht="12.75" customHeight="1" x14ac:dyDescent="0.25">
      <c r="A27" s="62"/>
      <c r="B27" s="68">
        <v>16</v>
      </c>
      <c r="C27" s="94" t="s">
        <v>95</v>
      </c>
      <c r="D27" s="261">
        <v>4.1999999999999997E-3</v>
      </c>
      <c r="E27" s="261"/>
      <c r="F27" s="63"/>
      <c r="G27" s="106" t="s">
        <v>52</v>
      </c>
      <c r="H27" s="107"/>
      <c r="I27" s="108"/>
      <c r="J27" s="109">
        <f>D15</f>
        <v>0.39800000000000008</v>
      </c>
      <c r="K27" s="109">
        <f>D15</f>
        <v>0.39800000000000008</v>
      </c>
      <c r="L27" s="7"/>
      <c r="M27" s="48"/>
      <c r="N27" s="31"/>
    </row>
    <row r="28" spans="1:14" ht="12.75" customHeight="1" x14ac:dyDescent="0.25">
      <c r="A28" s="62"/>
      <c r="B28" s="68">
        <v>17</v>
      </c>
      <c r="C28" s="94" t="s">
        <v>96</v>
      </c>
      <c r="D28" s="261">
        <v>4.0000000000000002E-4</v>
      </c>
      <c r="E28" s="261"/>
      <c r="F28" s="63"/>
      <c r="G28" s="110" t="s">
        <v>47</v>
      </c>
      <c r="H28" s="111"/>
      <c r="I28" s="112"/>
      <c r="J28" s="246" t="s">
        <v>53</v>
      </c>
      <c r="K28" s="247"/>
      <c r="L28" s="7"/>
      <c r="M28" s="48"/>
      <c r="N28" s="31"/>
    </row>
    <row r="29" spans="1:14" ht="12.75" customHeight="1" x14ac:dyDescent="0.25">
      <c r="A29" s="62"/>
      <c r="B29" s="68">
        <v>18</v>
      </c>
      <c r="C29" s="69" t="s">
        <v>97</v>
      </c>
      <c r="D29" s="261">
        <v>8.0000000000000004E-4</v>
      </c>
      <c r="E29" s="261"/>
      <c r="F29" s="63"/>
      <c r="G29" s="106" t="s">
        <v>98</v>
      </c>
      <c r="H29" s="107"/>
      <c r="I29" s="108"/>
      <c r="J29" s="109">
        <f>D18</f>
        <v>8.3333333333333329E-2</v>
      </c>
      <c r="K29" s="109">
        <f>E18</f>
        <v>9.0909090909090912E-2</v>
      </c>
      <c r="L29" s="7"/>
      <c r="M29" s="48"/>
      <c r="N29" s="31"/>
    </row>
    <row r="30" spans="1:14" ht="12.75" customHeight="1" x14ac:dyDescent="0.25">
      <c r="A30" s="62"/>
      <c r="B30" s="68">
        <v>19</v>
      </c>
      <c r="C30" s="69" t="s">
        <v>99</v>
      </c>
      <c r="D30" s="261">
        <v>2.8799999999999999E-2</v>
      </c>
      <c r="E30" s="261"/>
      <c r="F30" s="63"/>
      <c r="G30" s="106" t="s">
        <v>100</v>
      </c>
      <c r="H30" s="107"/>
      <c r="I30" s="108"/>
      <c r="J30" s="109">
        <f>D19</f>
        <v>8.3333333333333329E-2</v>
      </c>
      <c r="K30" s="109">
        <f>E19</f>
        <v>9.0909090909090912E-2</v>
      </c>
      <c r="L30" s="7"/>
      <c r="M30" s="48"/>
      <c r="N30" s="31"/>
    </row>
    <row r="31" spans="1:14" ht="13.5" customHeight="1" x14ac:dyDescent="0.25">
      <c r="A31" s="62"/>
      <c r="B31" s="259" t="s">
        <v>101</v>
      </c>
      <c r="C31" s="260"/>
      <c r="D31" s="262">
        <f>SUM(D27:D30)</f>
        <v>3.4200000000000001E-2</v>
      </c>
      <c r="E31" s="262"/>
      <c r="F31" s="63"/>
      <c r="G31" s="248" t="s">
        <v>102</v>
      </c>
      <c r="H31" s="249"/>
      <c r="I31" s="250"/>
      <c r="J31" s="254">
        <f>SUM(J29:J30)</f>
        <v>0.16666666666666666</v>
      </c>
      <c r="K31" s="254">
        <f>SUM(K29:K30)</f>
        <v>0.18181818181818182</v>
      </c>
      <c r="L31" s="7"/>
      <c r="M31" s="48"/>
      <c r="N31" s="31"/>
    </row>
    <row r="32" spans="1:14" ht="12.75" customHeight="1" x14ac:dyDescent="0.25">
      <c r="A32" s="62"/>
      <c r="B32" s="263" t="s">
        <v>103</v>
      </c>
      <c r="C32" s="264"/>
      <c r="D32" s="263" t="s">
        <v>53</v>
      </c>
      <c r="E32" s="264"/>
      <c r="F32" s="63"/>
      <c r="G32" s="251"/>
      <c r="H32" s="252"/>
      <c r="I32" s="253"/>
      <c r="J32" s="255"/>
      <c r="K32" s="256"/>
      <c r="L32" s="7"/>
      <c r="M32" s="48"/>
      <c r="N32" s="31"/>
    </row>
    <row r="33" spans="1:14" ht="12.75" customHeight="1" x14ac:dyDescent="0.25">
      <c r="A33" s="62"/>
      <c r="B33" s="68">
        <v>20</v>
      </c>
      <c r="C33" s="94" t="s">
        <v>104</v>
      </c>
      <c r="D33" s="70">
        <f>D15*(D25-D20)</f>
        <v>7.3178933333333335E-2</v>
      </c>
      <c r="E33" s="70">
        <f>D15*(E25-E20)</f>
        <v>7.9209236363636373E-2</v>
      </c>
      <c r="F33" s="63"/>
      <c r="G33" s="106" t="s">
        <v>105</v>
      </c>
      <c r="H33" s="107"/>
      <c r="I33" s="108"/>
      <c r="J33" s="109">
        <f>J27*J31</f>
        <v>6.6333333333333341E-2</v>
      </c>
      <c r="K33" s="109">
        <f>K27*K31</f>
        <v>7.236363636363638E-2</v>
      </c>
      <c r="L33" s="7"/>
      <c r="M33" s="48"/>
      <c r="N33" s="31"/>
    </row>
    <row r="34" spans="1:14" ht="13.5" customHeight="1" x14ac:dyDescent="0.25">
      <c r="A34" s="62"/>
      <c r="B34" s="259" t="s">
        <v>106</v>
      </c>
      <c r="C34" s="260"/>
      <c r="D34" s="113">
        <f>SUM(D33)</f>
        <v>7.3178933333333335E-2</v>
      </c>
      <c r="E34" s="113">
        <f>SUM(E33)</f>
        <v>7.9209236363636373E-2</v>
      </c>
      <c r="F34" s="63"/>
      <c r="G34" s="106" t="s">
        <v>107</v>
      </c>
      <c r="H34" s="107"/>
      <c r="I34" s="108"/>
      <c r="J34" s="109">
        <f>D20</f>
        <v>2.7777777777777776E-2</v>
      </c>
      <c r="K34" s="109">
        <f>E20</f>
        <v>3.03030303030303E-2</v>
      </c>
      <c r="L34" s="7"/>
      <c r="M34" s="48"/>
      <c r="N34" s="31"/>
    </row>
    <row r="35" spans="1:14" ht="24" customHeight="1" x14ac:dyDescent="0.25">
      <c r="A35" s="62"/>
      <c r="B35" s="239" t="s">
        <v>108</v>
      </c>
      <c r="C35" s="240"/>
      <c r="D35" s="114" t="s">
        <v>77</v>
      </c>
      <c r="E35" s="115" t="s">
        <v>78</v>
      </c>
      <c r="F35" s="63"/>
      <c r="G35" s="106" t="s">
        <v>109</v>
      </c>
      <c r="H35" s="107"/>
      <c r="I35" s="108"/>
      <c r="J35" s="109">
        <f>D30</f>
        <v>2.8799999999999999E-2</v>
      </c>
      <c r="K35" s="109">
        <f>D30</f>
        <v>2.8799999999999999E-2</v>
      </c>
      <c r="L35" s="7"/>
      <c r="M35" s="48"/>
      <c r="N35" s="31"/>
    </row>
    <row r="36" spans="1:14" ht="13.5" customHeight="1" x14ac:dyDescent="0.25">
      <c r="A36" s="62"/>
      <c r="B36" s="241"/>
      <c r="C36" s="242"/>
      <c r="D36" s="78">
        <f>(D15+D25+D31+D34)</f>
        <v>0.7170233777777778</v>
      </c>
      <c r="E36" s="78">
        <f>(D15+E25+D31+E34)</f>
        <v>0.74073044848484859</v>
      </c>
      <c r="F36" s="63"/>
      <c r="G36" s="116" t="s">
        <v>110</v>
      </c>
      <c r="H36" s="117"/>
      <c r="I36" s="118"/>
      <c r="J36" s="119">
        <f>SUM(J31:J35)</f>
        <v>0.28957777777777777</v>
      </c>
      <c r="K36" s="119">
        <f>SUM(K31:K35)</f>
        <v>0.31328484848484844</v>
      </c>
      <c r="L36" s="7"/>
      <c r="M36" s="48"/>
      <c r="N36" s="31"/>
    </row>
    <row r="37" spans="1:14" ht="12.75" customHeight="1" x14ac:dyDescent="0.25">
      <c r="A37" s="49"/>
      <c r="B37" s="120" t="s">
        <v>111</v>
      </c>
      <c r="C37" s="103"/>
      <c r="D37" s="103"/>
      <c r="E37" s="103"/>
      <c r="F37" s="60"/>
      <c r="G37" s="46"/>
      <c r="H37" s="46"/>
      <c r="I37" s="46"/>
      <c r="J37" s="46"/>
      <c r="K37" s="46"/>
      <c r="L37" s="48"/>
      <c r="M37" s="48"/>
      <c r="N37" s="31"/>
    </row>
    <row r="38" spans="1:14" ht="12.75" customHeight="1" x14ac:dyDescent="0.25">
      <c r="A38" s="49"/>
      <c r="B38" s="121" t="s">
        <v>112</v>
      </c>
      <c r="C38" s="60"/>
      <c r="D38" s="60"/>
      <c r="E38" s="60"/>
      <c r="F38" s="48"/>
      <c r="G38" s="48"/>
      <c r="H38" s="48"/>
      <c r="I38" s="48"/>
      <c r="J38" s="48"/>
      <c r="K38" s="48"/>
      <c r="L38" s="48"/>
      <c r="M38" s="48"/>
      <c r="N38" s="31"/>
    </row>
    <row r="39" spans="1:14" ht="12.75" customHeight="1" x14ac:dyDescent="0.25">
      <c r="A39" s="49"/>
      <c r="B39" s="121" t="s">
        <v>113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31"/>
    </row>
    <row r="40" spans="1:14" ht="12.75" customHeight="1" x14ac:dyDescent="0.25">
      <c r="A40" s="4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31"/>
    </row>
    <row r="41" spans="1:14" ht="12.75" customHeight="1" x14ac:dyDescent="0.25">
      <c r="A41" s="4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31"/>
    </row>
    <row r="42" spans="1:14" ht="12.75" customHeight="1" x14ac:dyDescent="0.25">
      <c r="A42" s="4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31"/>
    </row>
    <row r="43" spans="1:14" ht="12.75" customHeight="1" x14ac:dyDescent="0.25">
      <c r="A43" s="4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31"/>
    </row>
    <row r="44" spans="1:14" ht="12.75" customHeight="1" x14ac:dyDescent="0.25">
      <c r="A44" s="4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31"/>
    </row>
    <row r="45" spans="1:14" ht="13.5" customHeight="1" x14ac:dyDescent="0.25">
      <c r="A45" s="4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31"/>
    </row>
    <row r="46" spans="1:14" ht="12.75" customHeight="1" x14ac:dyDescent="0.25">
      <c r="A46" s="4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31"/>
    </row>
    <row r="47" spans="1:14" ht="12.75" customHeight="1" x14ac:dyDescent="0.25">
      <c r="A47" s="4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31"/>
    </row>
    <row r="48" spans="1:14" ht="12.75" customHeight="1" x14ac:dyDescent="0.25">
      <c r="A48" s="4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31"/>
    </row>
    <row r="49" spans="1:14" ht="12.75" customHeight="1" x14ac:dyDescent="0.25">
      <c r="A49" s="4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31"/>
    </row>
    <row r="50" spans="1:14" ht="12.75" customHeight="1" x14ac:dyDescent="0.25">
      <c r="A50" s="4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31"/>
    </row>
    <row r="51" spans="1:14" ht="12.75" customHeight="1" x14ac:dyDescent="0.25">
      <c r="A51" s="4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31"/>
    </row>
    <row r="52" spans="1:14" ht="12.75" customHeight="1" x14ac:dyDescent="0.25">
      <c r="A52" s="4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31"/>
    </row>
    <row r="53" spans="1:14" ht="12.75" customHeight="1" x14ac:dyDescent="0.25">
      <c r="A53" s="4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31"/>
    </row>
    <row r="54" spans="1:14" ht="12.75" customHeight="1" x14ac:dyDescent="0.25">
      <c r="A54" s="4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31"/>
    </row>
    <row r="55" spans="1:14" ht="12.75" customHeight="1" x14ac:dyDescent="0.25">
      <c r="A55" s="4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31"/>
    </row>
    <row r="56" spans="1:14" ht="12.75" customHeight="1" x14ac:dyDescent="0.25">
      <c r="A56" s="4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31"/>
    </row>
    <row r="57" spans="1:14" ht="12.75" customHeight="1" x14ac:dyDescent="0.25">
      <c r="A57" s="4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31"/>
    </row>
    <row r="58" spans="1:14" ht="12.75" customHeight="1" x14ac:dyDescent="0.25">
      <c r="A58" s="4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31"/>
    </row>
    <row r="59" spans="1:14" ht="12.75" customHeight="1" x14ac:dyDescent="0.25">
      <c r="A59" s="4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31"/>
    </row>
    <row r="60" spans="1:14" ht="12.75" customHeight="1" x14ac:dyDescent="0.25">
      <c r="A60" s="4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31"/>
    </row>
    <row r="61" spans="1:14" ht="12.75" customHeight="1" x14ac:dyDescent="0.25">
      <c r="A61" s="4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31"/>
    </row>
    <row r="62" spans="1:14" ht="12.75" customHeight="1" x14ac:dyDescent="0.25">
      <c r="A62" s="4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31"/>
    </row>
    <row r="63" spans="1:14" ht="12.75" customHeight="1" x14ac:dyDescent="0.25">
      <c r="A63" s="4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31"/>
    </row>
    <row r="64" spans="1:14" ht="12.75" customHeight="1" x14ac:dyDescent="0.25">
      <c r="A64" s="4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31"/>
    </row>
    <row r="65" spans="1:14" ht="12.75" customHeight="1" x14ac:dyDescent="0.25">
      <c r="A65" s="4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31"/>
    </row>
    <row r="66" spans="1:14" ht="12.75" customHeight="1" x14ac:dyDescent="0.25">
      <c r="A66" s="4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31"/>
    </row>
    <row r="67" spans="1:14" ht="12.75" customHeight="1" x14ac:dyDescent="0.25">
      <c r="A67" s="4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31"/>
    </row>
    <row r="68" spans="1:14" ht="12.75" customHeight="1" x14ac:dyDescent="0.25">
      <c r="A68" s="4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31"/>
    </row>
    <row r="69" spans="1:14" ht="12.75" customHeight="1" x14ac:dyDescent="0.25">
      <c r="A69" s="4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31"/>
    </row>
    <row r="70" spans="1:14" ht="12.75" customHeight="1" x14ac:dyDescent="0.25">
      <c r="A70" s="4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31"/>
    </row>
    <row r="71" spans="1:14" ht="12.75" customHeight="1" x14ac:dyDescent="0.25">
      <c r="A71" s="4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31"/>
    </row>
    <row r="72" spans="1:14" ht="12.75" customHeight="1" x14ac:dyDescent="0.25">
      <c r="A72" s="4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31"/>
    </row>
    <row r="73" spans="1:14" ht="12.75" customHeight="1" x14ac:dyDescent="0.25">
      <c r="A73" s="4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31"/>
    </row>
    <row r="74" spans="1:14" ht="12.75" customHeight="1" x14ac:dyDescent="0.25">
      <c r="A74" s="4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31"/>
    </row>
    <row r="75" spans="1:14" ht="12.75" customHeight="1" x14ac:dyDescent="0.25">
      <c r="A75" s="52"/>
      <c r="B75" s="48"/>
      <c r="C75" s="48"/>
      <c r="D75" s="48"/>
      <c r="E75" s="48"/>
      <c r="F75" s="53"/>
      <c r="G75" s="53"/>
      <c r="H75" s="53"/>
      <c r="I75" s="53"/>
      <c r="J75" s="53"/>
      <c r="K75" s="53"/>
      <c r="L75" s="53"/>
      <c r="M75" s="53"/>
      <c r="N75" s="55"/>
    </row>
    <row r="76" spans="1:14" ht="12.75" customHeight="1" x14ac:dyDescent="0.25">
      <c r="A76" s="122"/>
      <c r="B76" s="53"/>
      <c r="C76" s="53"/>
      <c r="D76" s="53"/>
      <c r="E76" s="53"/>
      <c r="F76" s="123"/>
      <c r="G76" s="123"/>
      <c r="H76" s="123"/>
      <c r="I76" s="123"/>
      <c r="J76" s="123"/>
      <c r="K76" s="123"/>
      <c r="L76" s="123"/>
      <c r="M76" s="123"/>
      <c r="N76" s="124"/>
    </row>
  </sheetData>
  <mergeCells count="47">
    <mergeCell ref="D8:E8"/>
    <mergeCell ref="G8:H8"/>
    <mergeCell ref="B2:E2"/>
    <mergeCell ref="B3:E3"/>
    <mergeCell ref="G3:K3"/>
    <mergeCell ref="B4:B5"/>
    <mergeCell ref="C4:C5"/>
    <mergeCell ref="D4:E4"/>
    <mergeCell ref="G4:I5"/>
    <mergeCell ref="K4:K5"/>
    <mergeCell ref="B6:C6"/>
    <mergeCell ref="D6:E6"/>
    <mergeCell ref="G6:I6"/>
    <mergeCell ref="D7:E7"/>
    <mergeCell ref="G7:H7"/>
    <mergeCell ref="J4:J5"/>
    <mergeCell ref="D9:E9"/>
    <mergeCell ref="D10:E10"/>
    <mergeCell ref="D11:E11"/>
    <mergeCell ref="D12:E12"/>
    <mergeCell ref="D13:E13"/>
    <mergeCell ref="G14:I14"/>
    <mergeCell ref="B15:C15"/>
    <mergeCell ref="D15:E15"/>
    <mergeCell ref="G15:H15"/>
    <mergeCell ref="B16:C16"/>
    <mergeCell ref="D16:E16"/>
    <mergeCell ref="D14:E14"/>
    <mergeCell ref="G25:K25"/>
    <mergeCell ref="B34:C34"/>
    <mergeCell ref="D28:E28"/>
    <mergeCell ref="D29:E29"/>
    <mergeCell ref="D30:E30"/>
    <mergeCell ref="B31:C31"/>
    <mergeCell ref="D31:E31"/>
    <mergeCell ref="B32:C32"/>
    <mergeCell ref="D32:E32"/>
    <mergeCell ref="B25:C25"/>
    <mergeCell ref="B26:C26"/>
    <mergeCell ref="D26:E26"/>
    <mergeCell ref="D27:E27"/>
    <mergeCell ref="B35:C36"/>
    <mergeCell ref="G26:I26"/>
    <mergeCell ref="J28:K28"/>
    <mergeCell ref="G31:I32"/>
    <mergeCell ref="J31:J32"/>
    <mergeCell ref="K31:K32"/>
  </mergeCells>
  <pageMargins left="0.78740200000000005" right="0.78740200000000005" top="0.98425200000000002" bottom="0.98425200000000002" header="0.51181100000000002" footer="0.51181100000000002"/>
  <pageSetup orientation="landscape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0"/>
  <sheetViews>
    <sheetView showGridLines="0" topLeftCell="A37" zoomScale="110" zoomScaleNormal="110" workbookViewId="0">
      <selection activeCell="B35" sqref="B35:B41"/>
    </sheetView>
  </sheetViews>
  <sheetFormatPr defaultColWidth="8.85546875" defaultRowHeight="12.75" customHeight="1" x14ac:dyDescent="0.25"/>
  <cols>
    <col min="1" max="1" width="33.42578125" style="125" customWidth="1"/>
    <col min="2" max="2" width="12" style="125" customWidth="1"/>
    <col min="3" max="3" width="12.42578125" style="125" customWidth="1"/>
    <col min="4" max="4" width="17.140625" style="125" customWidth="1"/>
    <col min="5" max="5" width="15.140625" style="125" customWidth="1"/>
    <col min="6" max="6" width="12.85546875" style="125" customWidth="1"/>
    <col min="7" max="7" width="15.42578125" style="125" customWidth="1"/>
    <col min="8" max="8" width="14.42578125" style="125" customWidth="1"/>
    <col min="9" max="9" width="12.85546875" style="125" customWidth="1"/>
    <col min="10" max="10" width="35.140625" style="125" customWidth="1"/>
    <col min="11" max="11" width="16.140625" style="125" customWidth="1"/>
    <col min="12" max="12" width="16" style="125" customWidth="1"/>
    <col min="13" max="13" width="16.42578125" style="125" customWidth="1"/>
    <col min="14" max="14" width="13.42578125" style="125" customWidth="1"/>
    <col min="15" max="15" width="12.85546875" style="125" customWidth="1"/>
    <col min="16" max="16" width="7.85546875" style="125" customWidth="1"/>
    <col min="17" max="17" width="18" style="125" customWidth="1"/>
    <col min="18" max="23" width="9.140625" style="125" customWidth="1"/>
    <col min="24" max="24" width="8.85546875" style="125" customWidth="1"/>
    <col min="25" max="16384" width="8.85546875" style="125"/>
  </cols>
  <sheetData>
    <row r="1" spans="1:23" ht="13.7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292"/>
      <c r="M1" s="292"/>
      <c r="N1" s="292"/>
      <c r="O1" s="292"/>
      <c r="P1" s="39"/>
      <c r="Q1" s="39"/>
      <c r="R1" s="39"/>
      <c r="S1" s="39"/>
      <c r="T1" s="39"/>
      <c r="U1" s="39"/>
      <c r="V1" s="39"/>
      <c r="W1" s="39"/>
    </row>
    <row r="2" spans="1:23" ht="13.7" customHeight="1" x14ac:dyDescent="0.25">
      <c r="A2" s="127"/>
      <c r="B2" s="127"/>
      <c r="C2" s="127"/>
      <c r="D2" s="127"/>
      <c r="E2" s="127"/>
      <c r="F2" s="127"/>
      <c r="G2" s="127"/>
      <c r="H2" s="39"/>
      <c r="I2" s="39"/>
      <c r="J2" s="293"/>
      <c r="K2" s="294"/>
      <c r="L2" s="294"/>
      <c r="M2" s="294"/>
      <c r="N2" s="127"/>
      <c r="O2" s="127"/>
      <c r="P2" s="39"/>
      <c r="Q2" s="39"/>
      <c r="R2" s="39"/>
      <c r="S2" s="39"/>
      <c r="T2" s="39"/>
      <c r="U2" s="39"/>
      <c r="V2" s="39"/>
      <c r="W2" s="39"/>
    </row>
    <row r="3" spans="1:23" ht="36" customHeight="1" x14ac:dyDescent="0.25">
      <c r="A3" s="301" t="s">
        <v>177</v>
      </c>
      <c r="B3" s="302"/>
      <c r="C3" s="302"/>
      <c r="D3" s="302"/>
      <c r="E3" s="302"/>
      <c r="F3" s="302"/>
      <c r="G3" s="302"/>
      <c r="H3" s="129"/>
      <c r="I3" s="130"/>
      <c r="J3" s="303" t="s">
        <v>114</v>
      </c>
      <c r="K3" s="304"/>
      <c r="L3" s="304"/>
      <c r="M3" s="304"/>
      <c r="N3" s="304"/>
      <c r="O3" s="305"/>
      <c r="P3" s="131"/>
      <c r="Q3" s="39"/>
      <c r="R3" s="39"/>
      <c r="S3" s="39"/>
      <c r="T3" s="39"/>
      <c r="U3" s="39"/>
      <c r="V3" s="39"/>
      <c r="W3" s="39"/>
    </row>
    <row r="4" spans="1:23" ht="38.25" customHeight="1" x14ac:dyDescent="0.25">
      <c r="A4" s="306" t="s">
        <v>115</v>
      </c>
      <c r="B4" s="306" t="s">
        <v>116</v>
      </c>
      <c r="C4" s="308"/>
      <c r="D4" s="308"/>
      <c r="E4" s="308"/>
      <c r="F4" s="308"/>
      <c r="G4" s="128" t="s">
        <v>117</v>
      </c>
      <c r="H4" s="129"/>
      <c r="I4" s="130"/>
      <c r="J4" s="295" t="s">
        <v>0</v>
      </c>
      <c r="K4" s="295" t="s">
        <v>118</v>
      </c>
      <c r="L4" s="128" t="s">
        <v>119</v>
      </c>
      <c r="M4" s="295" t="s">
        <v>120</v>
      </c>
      <c r="N4" s="295" t="s">
        <v>121</v>
      </c>
      <c r="O4" s="295" t="s">
        <v>122</v>
      </c>
      <c r="P4" s="131"/>
      <c r="Q4" s="39"/>
      <c r="R4" s="39"/>
      <c r="S4" s="39"/>
      <c r="T4" s="39"/>
      <c r="U4" s="39"/>
      <c r="V4" s="39"/>
      <c r="W4" s="39"/>
    </row>
    <row r="5" spans="1:23" ht="43.5" customHeight="1" x14ac:dyDescent="0.25">
      <c r="A5" s="307"/>
      <c r="B5" s="128" t="s">
        <v>123</v>
      </c>
      <c r="C5" s="132" t="s">
        <v>124</v>
      </c>
      <c r="D5" s="132" t="s">
        <v>125</v>
      </c>
      <c r="E5" s="128" t="s">
        <v>126</v>
      </c>
      <c r="F5" s="128" t="s">
        <v>127</v>
      </c>
      <c r="G5" s="128" t="s">
        <v>128</v>
      </c>
      <c r="H5" s="133"/>
      <c r="I5" s="130"/>
      <c r="J5" s="296"/>
      <c r="K5" s="296"/>
      <c r="L5" s="134">
        <v>0</v>
      </c>
      <c r="M5" s="296"/>
      <c r="N5" s="296"/>
      <c r="O5" s="296"/>
      <c r="P5" s="131"/>
      <c r="Q5" s="39"/>
      <c r="R5" s="39"/>
      <c r="S5" s="39"/>
      <c r="T5" s="39"/>
      <c r="U5" s="39"/>
      <c r="V5" s="39"/>
      <c r="W5" s="39"/>
    </row>
    <row r="6" spans="1:23" ht="13.7" customHeight="1" x14ac:dyDescent="0.25">
      <c r="A6" s="135" t="s">
        <v>130</v>
      </c>
      <c r="B6" s="136">
        <v>13</v>
      </c>
      <c r="C6" s="136">
        <v>4</v>
      </c>
      <c r="D6" s="136">
        <v>4</v>
      </c>
      <c r="E6" s="136">
        <v>4</v>
      </c>
      <c r="F6" s="136">
        <v>1</v>
      </c>
      <c r="G6" s="137">
        <v>136</v>
      </c>
      <c r="H6" s="131"/>
      <c r="I6" s="130"/>
      <c r="J6" s="138" t="s">
        <v>129</v>
      </c>
      <c r="K6" s="139">
        <v>28.69</v>
      </c>
      <c r="L6" s="139">
        <f>(K6)-(K6*L5)</f>
        <v>28.69</v>
      </c>
      <c r="M6" s="140">
        <f>G20</f>
        <v>246</v>
      </c>
      <c r="N6" s="141">
        <f>L6*M6</f>
        <v>7057.7400000000007</v>
      </c>
      <c r="O6" s="141">
        <f>N6/12</f>
        <v>588.1450000000001</v>
      </c>
      <c r="P6" s="131"/>
      <c r="Q6" s="39"/>
      <c r="R6" s="39"/>
      <c r="S6" s="39"/>
      <c r="T6" s="39"/>
      <c r="U6" s="39"/>
      <c r="V6" s="39"/>
      <c r="W6" s="39"/>
    </row>
    <row r="7" spans="1:23" ht="13.7" customHeight="1" x14ac:dyDescent="0.25">
      <c r="A7" s="142" t="s">
        <v>131</v>
      </c>
      <c r="B7" s="143">
        <v>18</v>
      </c>
      <c r="C7" s="143">
        <v>4</v>
      </c>
      <c r="D7" s="143">
        <v>4</v>
      </c>
      <c r="E7" s="143">
        <v>5</v>
      </c>
      <c r="F7" s="143">
        <v>0</v>
      </c>
      <c r="G7" s="144">
        <v>176</v>
      </c>
      <c r="H7" s="131"/>
      <c r="I7" s="39"/>
      <c r="J7" s="29"/>
      <c r="K7" s="29"/>
      <c r="L7" s="29"/>
      <c r="M7" s="29"/>
      <c r="N7" s="29"/>
      <c r="O7" s="29"/>
      <c r="P7" s="39"/>
      <c r="Q7" s="39"/>
      <c r="R7" s="39"/>
      <c r="S7" s="39"/>
      <c r="T7" s="39"/>
      <c r="U7" s="39"/>
      <c r="V7" s="39"/>
      <c r="W7" s="39"/>
    </row>
    <row r="8" spans="1:23" ht="13.7" customHeight="1" x14ac:dyDescent="0.25">
      <c r="A8" s="142" t="s">
        <v>132</v>
      </c>
      <c r="B8" s="143">
        <v>13</v>
      </c>
      <c r="C8" s="143">
        <v>4</v>
      </c>
      <c r="D8" s="143">
        <v>5</v>
      </c>
      <c r="E8" s="143">
        <v>6</v>
      </c>
      <c r="F8" s="143">
        <v>2</v>
      </c>
      <c r="G8" s="144">
        <v>136</v>
      </c>
      <c r="H8" s="131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3.7" customHeight="1" x14ac:dyDescent="0.25">
      <c r="A9" s="142" t="s">
        <v>133</v>
      </c>
      <c r="B9" s="143">
        <v>18</v>
      </c>
      <c r="C9" s="143">
        <v>4</v>
      </c>
      <c r="D9" s="143">
        <v>4</v>
      </c>
      <c r="E9" s="143">
        <v>5</v>
      </c>
      <c r="F9" s="143">
        <v>0</v>
      </c>
      <c r="G9" s="144">
        <v>176</v>
      </c>
      <c r="H9" s="131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3.7" customHeight="1" x14ac:dyDescent="0.25">
      <c r="A10" s="142" t="s">
        <v>134</v>
      </c>
      <c r="B10" s="143">
        <v>17</v>
      </c>
      <c r="C10" s="143">
        <v>4</v>
      </c>
      <c r="D10" s="143">
        <v>4</v>
      </c>
      <c r="E10" s="143">
        <v>5</v>
      </c>
      <c r="F10" s="143">
        <v>0</v>
      </c>
      <c r="G10" s="144">
        <v>168</v>
      </c>
      <c r="H10" s="131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2" customHeight="1" x14ac:dyDescent="0.25">
      <c r="A11" s="142" t="s">
        <v>135</v>
      </c>
      <c r="B11" s="143">
        <v>16</v>
      </c>
      <c r="C11" s="143">
        <v>5</v>
      </c>
      <c r="D11" s="143">
        <v>5</v>
      </c>
      <c r="E11" s="143">
        <v>5</v>
      </c>
      <c r="F11" s="143">
        <v>0</v>
      </c>
      <c r="G11" s="144">
        <v>168</v>
      </c>
      <c r="H11" s="131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3.7" customHeight="1" x14ac:dyDescent="0.25">
      <c r="A12" s="142" t="s">
        <v>136</v>
      </c>
      <c r="B12" s="143">
        <v>18</v>
      </c>
      <c r="C12" s="143">
        <v>4</v>
      </c>
      <c r="D12" s="143">
        <v>4</v>
      </c>
      <c r="E12" s="143">
        <v>4</v>
      </c>
      <c r="F12" s="143">
        <v>1</v>
      </c>
      <c r="G12" s="144">
        <v>176</v>
      </c>
      <c r="H12" s="131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3.7" customHeight="1" x14ac:dyDescent="0.25">
      <c r="A13" s="142" t="s">
        <v>137</v>
      </c>
      <c r="B13" s="143">
        <v>16</v>
      </c>
      <c r="C13" s="143">
        <v>5</v>
      </c>
      <c r="D13" s="143">
        <v>4</v>
      </c>
      <c r="E13" s="143">
        <v>5</v>
      </c>
      <c r="F13" s="143">
        <v>0</v>
      </c>
      <c r="G13" s="144">
        <v>168</v>
      </c>
      <c r="H13" s="131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3.7" customHeight="1" x14ac:dyDescent="0.25">
      <c r="A14" s="142" t="s">
        <v>179</v>
      </c>
      <c r="B14" s="143">
        <v>16</v>
      </c>
      <c r="C14" s="143">
        <v>3</v>
      </c>
      <c r="D14" s="143">
        <v>5</v>
      </c>
      <c r="E14" s="143">
        <v>6</v>
      </c>
      <c r="F14" s="143">
        <v>1</v>
      </c>
      <c r="G14" s="144">
        <v>152</v>
      </c>
      <c r="H14" s="131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3.7" customHeight="1" x14ac:dyDescent="0.25">
      <c r="A15" s="142" t="s">
        <v>180</v>
      </c>
      <c r="B15" s="143">
        <v>15</v>
      </c>
      <c r="C15" s="143">
        <v>4</v>
      </c>
      <c r="D15" s="143">
        <v>4</v>
      </c>
      <c r="E15" s="143">
        <v>6</v>
      </c>
      <c r="F15" s="143">
        <v>1</v>
      </c>
      <c r="G15" s="144">
        <v>152</v>
      </c>
      <c r="H15" s="131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3.7" customHeight="1" x14ac:dyDescent="0.25">
      <c r="A16" s="142" t="s">
        <v>181</v>
      </c>
      <c r="B16" s="143">
        <v>16</v>
      </c>
      <c r="C16" s="143">
        <v>5</v>
      </c>
      <c r="D16" s="143">
        <v>5</v>
      </c>
      <c r="E16" s="143">
        <v>4</v>
      </c>
      <c r="F16" s="143">
        <v>1</v>
      </c>
      <c r="G16" s="144">
        <v>168</v>
      </c>
      <c r="H16" s="131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3.7" customHeight="1" x14ac:dyDescent="0.25">
      <c r="A17" s="142" t="s">
        <v>182</v>
      </c>
      <c r="B17" s="143">
        <v>18</v>
      </c>
      <c r="C17" s="143">
        <v>4</v>
      </c>
      <c r="D17" s="143">
        <v>4</v>
      </c>
      <c r="E17" s="143">
        <v>5</v>
      </c>
      <c r="F17" s="143">
        <v>0</v>
      </c>
      <c r="G17" s="144">
        <v>176</v>
      </c>
      <c r="H17" s="131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s="174" customFormat="1" ht="13.7" customHeight="1" x14ac:dyDescent="0.25">
      <c r="A18" s="142" t="s">
        <v>183</v>
      </c>
      <c r="B18" s="143">
        <v>2</v>
      </c>
      <c r="C18" s="143">
        <v>0</v>
      </c>
      <c r="D18" s="143">
        <v>0</v>
      </c>
      <c r="E18" s="143">
        <v>0</v>
      </c>
      <c r="F18" s="143">
        <v>0</v>
      </c>
      <c r="G18" s="144">
        <v>16</v>
      </c>
      <c r="H18" s="131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</row>
    <row r="19" spans="1:23" ht="13.5" customHeight="1" x14ac:dyDescent="0.25">
      <c r="A19" s="186" t="s">
        <v>138</v>
      </c>
      <c r="B19" s="145">
        <f>SUM(B6:B18)</f>
        <v>196</v>
      </c>
      <c r="C19" s="145">
        <f>SUM(C6:C18)</f>
        <v>50</v>
      </c>
      <c r="D19" s="324" t="s">
        <v>139</v>
      </c>
      <c r="E19" s="325"/>
      <c r="F19" s="325"/>
      <c r="G19" s="145">
        <f>SUM(G6:G18)</f>
        <v>1968</v>
      </c>
      <c r="H19" s="131"/>
      <c r="I19" s="146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4.25" customHeight="1" x14ac:dyDescent="0.25">
      <c r="A20" s="326" t="s">
        <v>140</v>
      </c>
      <c r="B20" s="327"/>
      <c r="C20" s="327"/>
      <c r="D20" s="327"/>
      <c r="E20" s="327"/>
      <c r="F20" s="327"/>
      <c r="G20" s="147">
        <f>B19+C19</f>
        <v>246</v>
      </c>
      <c r="H20" s="131"/>
      <c r="I20" s="146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8" customHeight="1" x14ac:dyDescent="0.25">
      <c r="A21" s="148"/>
      <c r="B21" s="66"/>
      <c r="C21" s="66"/>
      <c r="D21" s="66"/>
      <c r="E21" s="66"/>
      <c r="F21" s="66"/>
      <c r="G21" s="149"/>
      <c r="H21" s="150"/>
      <c r="I21" s="146"/>
      <c r="J21" s="127"/>
      <c r="K21" s="127"/>
      <c r="L21" s="127"/>
      <c r="M21" s="127"/>
      <c r="N21" s="127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8" customHeight="1" x14ac:dyDescent="0.25">
      <c r="A22" s="297" t="s">
        <v>141</v>
      </c>
      <c r="B22" s="298"/>
      <c r="C22" s="298"/>
      <c r="D22" s="298"/>
      <c r="E22" s="298"/>
      <c r="F22" s="298"/>
      <c r="G22" s="298"/>
      <c r="H22" s="298"/>
      <c r="I22" s="151"/>
      <c r="J22" s="297" t="s">
        <v>142</v>
      </c>
      <c r="K22" s="298"/>
      <c r="L22" s="298"/>
      <c r="M22" s="298"/>
      <c r="N22" s="298"/>
      <c r="O22" s="131"/>
      <c r="P22" s="39"/>
      <c r="Q22" s="39"/>
      <c r="R22" s="39"/>
      <c r="S22" s="39"/>
      <c r="T22" s="39"/>
      <c r="U22" s="39"/>
      <c r="V22" s="39"/>
      <c r="W22" s="39"/>
    </row>
    <row r="23" spans="1:23" ht="18" customHeight="1" x14ac:dyDescent="0.25">
      <c r="A23" s="299" t="s">
        <v>143</v>
      </c>
      <c r="B23" s="299" t="s">
        <v>12</v>
      </c>
      <c r="C23" s="299" t="s">
        <v>144</v>
      </c>
      <c r="D23" s="299" t="s">
        <v>145</v>
      </c>
      <c r="E23" s="299" t="s">
        <v>146</v>
      </c>
      <c r="F23" s="299" t="s">
        <v>147</v>
      </c>
      <c r="G23" s="299" t="s">
        <v>148</v>
      </c>
      <c r="H23" s="299" t="s">
        <v>149</v>
      </c>
      <c r="I23" s="151"/>
      <c r="J23" s="299" t="s">
        <v>150</v>
      </c>
      <c r="K23" s="300"/>
      <c r="L23" s="299" t="s">
        <v>26</v>
      </c>
      <c r="M23" s="299" t="s">
        <v>151</v>
      </c>
      <c r="N23" s="299" t="s">
        <v>152</v>
      </c>
      <c r="O23" s="131"/>
      <c r="P23" s="39"/>
      <c r="Q23" s="39"/>
      <c r="R23" s="39"/>
      <c r="S23" s="39"/>
      <c r="T23" s="39"/>
      <c r="U23" s="39"/>
      <c r="V23" s="39"/>
      <c r="W23" s="39"/>
    </row>
    <row r="24" spans="1:23" ht="18" customHeight="1" x14ac:dyDescent="0.25">
      <c r="A24" s="300"/>
      <c r="B24" s="300"/>
      <c r="C24" s="300"/>
      <c r="D24" s="300"/>
      <c r="E24" s="300"/>
      <c r="F24" s="300"/>
      <c r="G24" s="300"/>
      <c r="H24" s="300"/>
      <c r="I24" s="151"/>
      <c r="J24" s="300"/>
      <c r="K24" s="300"/>
      <c r="L24" s="300"/>
      <c r="M24" s="300"/>
      <c r="N24" s="300"/>
      <c r="O24" s="131"/>
      <c r="P24" s="39"/>
      <c r="Q24" s="39"/>
      <c r="R24" s="39"/>
      <c r="S24" s="39"/>
      <c r="T24" s="39"/>
      <c r="U24" s="39"/>
      <c r="V24" s="39"/>
      <c r="W24" s="39"/>
    </row>
    <row r="25" spans="1:23" ht="18" customHeight="1" x14ac:dyDescent="0.25">
      <c r="A25" s="152" t="str">
        <f>'Anx I Planilha de custos'!A7</f>
        <v>Arquiteto de Software - Master</v>
      </c>
      <c r="B25" s="153">
        <f>'Anx I Planilha de custos'!E7</f>
        <v>20062.830000000002</v>
      </c>
      <c r="C25" s="154">
        <f t="shared" ref="C25:C31" si="0">B25*12</f>
        <v>240753.96000000002</v>
      </c>
      <c r="D25" s="309">
        <f>G20</f>
        <v>246</v>
      </c>
      <c r="E25" s="154">
        <f>C25/D25</f>
        <v>978.67463414634153</v>
      </c>
      <c r="F25" s="154">
        <f t="shared" ref="F25:F31" si="1">E25*0.06</f>
        <v>58.720478048780492</v>
      </c>
      <c r="G25" s="328">
        <f>G20</f>
        <v>246</v>
      </c>
      <c r="H25" s="156">
        <f>F25*G25</f>
        <v>14445.2376</v>
      </c>
      <c r="I25" s="151"/>
      <c r="J25" s="152" t="str">
        <f>'Anx I Planilha de custos'!A7</f>
        <v>Arquiteto de Software - Master</v>
      </c>
      <c r="K25" s="311" t="s">
        <v>153</v>
      </c>
      <c r="L25" s="157">
        <f>'Anx I Planilha de custos'!M7</f>
        <v>45904.956310760856</v>
      </c>
      <c r="M25" s="323" t="s">
        <v>154</v>
      </c>
      <c r="N25" s="158">
        <f>L25/M25</f>
        <v>229.52478155380427</v>
      </c>
      <c r="O25" s="131"/>
      <c r="P25" s="39"/>
      <c r="Q25" s="39"/>
      <c r="R25" s="39"/>
      <c r="S25" s="39"/>
      <c r="T25" s="39"/>
      <c r="U25" s="39"/>
      <c r="V25" s="39"/>
      <c r="W25" s="39"/>
    </row>
    <row r="26" spans="1:23" ht="18" customHeight="1" x14ac:dyDescent="0.25">
      <c r="A26" s="152" t="str">
        <f>'Anx I Planilha de custos'!A8</f>
        <v>Engenheiro de software - Fullstack Master</v>
      </c>
      <c r="B26" s="153">
        <f>'Anx I Planilha de custos'!E8</f>
        <v>17094.2</v>
      </c>
      <c r="C26" s="154">
        <f t="shared" si="0"/>
        <v>205130.40000000002</v>
      </c>
      <c r="D26" s="199"/>
      <c r="E26" s="154">
        <f>C26/D25</f>
        <v>833.86341463414647</v>
      </c>
      <c r="F26" s="154">
        <f t="shared" si="1"/>
        <v>50.031804878048789</v>
      </c>
      <c r="G26" s="199"/>
      <c r="H26" s="156">
        <f>F26*G25</f>
        <v>12307.824000000002</v>
      </c>
      <c r="I26" s="151"/>
      <c r="J26" s="152" t="str">
        <f>'Anx I Planilha de custos'!A8</f>
        <v>Engenheiro de software - Fullstack Master</v>
      </c>
      <c r="K26" s="199"/>
      <c r="L26" s="157">
        <f>'Anx I Planilha de custos'!M8</f>
        <v>39226.574750347987</v>
      </c>
      <c r="M26" s="199"/>
      <c r="N26" s="158">
        <f>L26/M25</f>
        <v>196.13287375173994</v>
      </c>
      <c r="O26" s="131"/>
      <c r="P26" s="39"/>
      <c r="Q26" s="39"/>
      <c r="R26" s="39"/>
      <c r="S26" s="39"/>
      <c r="T26" s="39"/>
      <c r="U26" s="39"/>
      <c r="V26" s="39"/>
      <c r="W26" s="39"/>
    </row>
    <row r="27" spans="1:23" ht="18" customHeight="1" x14ac:dyDescent="0.25">
      <c r="A27" s="152" t="str">
        <f>'Anx I Planilha de custos'!A9</f>
        <v>Engenheiro de software - Fullstack Sênior</v>
      </c>
      <c r="B27" s="153">
        <f>'Anx I Planilha de custos'!E9</f>
        <v>11434</v>
      </c>
      <c r="C27" s="154">
        <f t="shared" si="0"/>
        <v>137208</v>
      </c>
      <c r="D27" s="199"/>
      <c r="E27" s="154">
        <f>C27/D25</f>
        <v>557.7560975609756</v>
      </c>
      <c r="F27" s="154">
        <f t="shared" si="1"/>
        <v>33.465365853658533</v>
      </c>
      <c r="G27" s="199"/>
      <c r="H27" s="156">
        <f>F27*G25</f>
        <v>8232.48</v>
      </c>
      <c r="I27" s="151"/>
      <c r="J27" s="152" t="str">
        <f>'Anx I Planilha de custos'!A9</f>
        <v>Engenheiro de software - Fullstack Sênior</v>
      </c>
      <c r="K27" s="199"/>
      <c r="L27" s="157">
        <f>'Anx I Planilha de custos'!M9</f>
        <v>26493.099946061509</v>
      </c>
      <c r="M27" s="199"/>
      <c r="N27" s="158">
        <f>L27/M25</f>
        <v>132.46549973030756</v>
      </c>
      <c r="O27" s="131"/>
      <c r="P27" s="39"/>
      <c r="Q27" s="39"/>
      <c r="R27" s="39"/>
      <c r="S27" s="39"/>
      <c r="T27" s="39"/>
      <c r="U27" s="39"/>
      <c r="V27" s="39"/>
      <c r="W27" s="39"/>
    </row>
    <row r="28" spans="1:23" ht="18" customHeight="1" x14ac:dyDescent="0.25">
      <c r="A28" s="152" t="str">
        <f>'Anx I Planilha de custos'!A10</f>
        <v>Data Engineer - Master</v>
      </c>
      <c r="B28" s="153">
        <f>'Anx I Planilha de custos'!E10</f>
        <v>15715.11</v>
      </c>
      <c r="C28" s="154">
        <f t="shared" si="0"/>
        <v>188581.32</v>
      </c>
      <c r="D28" s="199"/>
      <c r="E28" s="154">
        <f>C28/D25</f>
        <v>766.5907317073171</v>
      </c>
      <c r="F28" s="154">
        <f t="shared" si="1"/>
        <v>45.995443902439021</v>
      </c>
      <c r="G28" s="199"/>
      <c r="H28" s="156">
        <f>F28*G25</f>
        <v>11314.879199999999</v>
      </c>
      <c r="I28" s="151"/>
      <c r="J28" s="152" t="str">
        <f>'Anx I Planilha de custos'!A10</f>
        <v>Data Engineer - Master</v>
      </c>
      <c r="K28" s="199"/>
      <c r="L28" s="157">
        <f>'Anx I Planilha de custos'!M10</f>
        <v>36124.103500596488</v>
      </c>
      <c r="M28" s="199"/>
      <c r="N28" s="158">
        <f>L28/M25</f>
        <v>180.62051750298244</v>
      </c>
      <c r="O28" s="131"/>
      <c r="P28" s="39"/>
      <c r="Q28" s="39"/>
      <c r="R28" s="39"/>
      <c r="S28" s="39"/>
      <c r="T28" s="39"/>
      <c r="U28" s="39"/>
      <c r="V28" s="39"/>
      <c r="W28" s="39"/>
    </row>
    <row r="29" spans="1:23" ht="18" customHeight="1" x14ac:dyDescent="0.25">
      <c r="A29" s="152" t="str">
        <f>'Anx I Planilha de custos'!A11</f>
        <v>Data Scientist - Master</v>
      </c>
      <c r="B29" s="153">
        <f>'Anx I Planilha de custos'!E11</f>
        <v>15168.25</v>
      </c>
      <c r="C29" s="154">
        <f t="shared" si="0"/>
        <v>182019</v>
      </c>
      <c r="D29" s="199"/>
      <c r="E29" s="154">
        <f>C29/D25</f>
        <v>739.91463414634143</v>
      </c>
      <c r="F29" s="154">
        <f t="shared" si="1"/>
        <v>44.394878048780484</v>
      </c>
      <c r="G29" s="199"/>
      <c r="H29" s="156">
        <f>F29*G25</f>
        <v>10921.14</v>
      </c>
      <c r="I29" s="151"/>
      <c r="J29" s="152" t="str">
        <f>'Anx I Planilha de custos'!A11</f>
        <v>Data Scientist - Master</v>
      </c>
      <c r="K29" s="199"/>
      <c r="L29" s="157">
        <f>'Anx I Planilha de custos'!M11</f>
        <v>34893.859334052526</v>
      </c>
      <c r="M29" s="199"/>
      <c r="N29" s="158">
        <f>L29/M25</f>
        <v>174.46929667026262</v>
      </c>
      <c r="O29" s="131"/>
      <c r="P29" s="39"/>
      <c r="Q29" s="39"/>
      <c r="R29" s="39"/>
      <c r="S29" s="39"/>
      <c r="T29" s="39"/>
      <c r="U29" s="39"/>
      <c r="V29" s="39"/>
      <c r="W29" s="39"/>
    </row>
    <row r="30" spans="1:23" ht="18" customHeight="1" x14ac:dyDescent="0.25">
      <c r="A30" s="152" t="str">
        <f>'Anx I Planilha de custos'!A12</f>
        <v>Platform Engineer - Master</v>
      </c>
      <c r="B30" s="153">
        <f>'Anx I Planilha de custos'!E12</f>
        <v>16500</v>
      </c>
      <c r="C30" s="154">
        <f t="shared" si="0"/>
        <v>198000</v>
      </c>
      <c r="D30" s="199"/>
      <c r="E30" s="154">
        <f>C30/D25</f>
        <v>804.8780487804878</v>
      </c>
      <c r="F30" s="154">
        <f t="shared" si="1"/>
        <v>48.292682926829265</v>
      </c>
      <c r="G30" s="199"/>
      <c r="H30" s="156">
        <f>F30*G25</f>
        <v>11880</v>
      </c>
      <c r="I30" s="151"/>
      <c r="J30" s="152" t="str">
        <f>'Anx I Planilha de custos'!A12</f>
        <v>Platform Engineer - Master</v>
      </c>
      <c r="K30" s="199"/>
      <c r="L30" s="157">
        <f>'Anx I Planilha de custos'!M12</f>
        <v>37889.832103673485</v>
      </c>
      <c r="M30" s="199"/>
      <c r="N30" s="158">
        <f>L30/M25</f>
        <v>189.44916051836742</v>
      </c>
      <c r="O30" s="131"/>
      <c r="P30" s="39"/>
      <c r="Q30" s="39"/>
      <c r="R30" s="39"/>
      <c r="S30" s="39"/>
      <c r="T30" s="39"/>
      <c r="U30" s="39"/>
      <c r="V30" s="39"/>
      <c r="W30" s="39"/>
    </row>
    <row r="31" spans="1:23" ht="18" customHeight="1" x14ac:dyDescent="0.25">
      <c r="A31" s="152" t="str">
        <f>'Anx I Planilha de custos'!A13</f>
        <v>Cloud Engineer - Master</v>
      </c>
      <c r="B31" s="153">
        <f>'Anx I Planilha de custos'!E13</f>
        <v>18000</v>
      </c>
      <c r="C31" s="154">
        <f t="shared" si="0"/>
        <v>216000</v>
      </c>
      <c r="D31" s="199"/>
      <c r="E31" s="154">
        <f>C31/D25</f>
        <v>878.04878048780483</v>
      </c>
      <c r="F31" s="154">
        <f t="shared" si="1"/>
        <v>52.68292682926829</v>
      </c>
      <c r="G31" s="199"/>
      <c r="H31" s="156">
        <f>F31*G25</f>
        <v>12960</v>
      </c>
      <c r="I31" s="151"/>
      <c r="J31" s="152" t="str">
        <f>'Anx I Planilha de custos'!A13</f>
        <v>Cloud Engineer - Master</v>
      </c>
      <c r="K31" s="199"/>
      <c r="L31" s="157">
        <f>'Anx I Planilha de custos'!M13</f>
        <v>41264.308660408176</v>
      </c>
      <c r="M31" s="199"/>
      <c r="N31" s="158">
        <f>L31/M25</f>
        <v>206.32154330204088</v>
      </c>
      <c r="O31" s="131"/>
      <c r="P31" s="39"/>
      <c r="Q31" s="39"/>
      <c r="R31" s="39"/>
      <c r="S31" s="39"/>
      <c r="T31" s="39"/>
      <c r="U31" s="39"/>
      <c r="V31" s="39"/>
      <c r="W31" s="39"/>
    </row>
    <row r="32" spans="1:23" ht="18" customHeight="1" x14ac:dyDescent="0.25">
      <c r="A32" s="159"/>
      <c r="B32" s="160"/>
      <c r="C32" s="160"/>
      <c r="D32" s="160"/>
      <c r="E32" s="160"/>
      <c r="F32" s="160"/>
      <c r="G32" s="160"/>
      <c r="H32" s="161"/>
      <c r="I32" s="39"/>
      <c r="J32" s="29"/>
      <c r="K32" s="29"/>
      <c r="L32" s="29"/>
      <c r="M32" s="29"/>
      <c r="N32" s="2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8" customHeight="1" x14ac:dyDescent="0.25">
      <c r="A33" s="299" t="s">
        <v>143</v>
      </c>
      <c r="B33" s="299" t="s">
        <v>155</v>
      </c>
      <c r="C33" s="299" t="s">
        <v>156</v>
      </c>
      <c r="D33" s="299" t="s">
        <v>157</v>
      </c>
      <c r="E33" s="299" t="s">
        <v>158</v>
      </c>
      <c r="F33" s="299" t="s">
        <v>159</v>
      </c>
      <c r="G33" s="299" t="s">
        <v>160</v>
      </c>
      <c r="H33" s="318" t="s">
        <v>161</v>
      </c>
      <c r="I33" s="131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8" customHeight="1" x14ac:dyDescent="0.25">
      <c r="A34" s="300"/>
      <c r="B34" s="300"/>
      <c r="C34" s="300"/>
      <c r="D34" s="300"/>
      <c r="E34" s="300"/>
      <c r="F34" s="300"/>
      <c r="G34" s="300"/>
      <c r="H34" s="319"/>
      <c r="I34" s="131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8" customHeight="1" x14ac:dyDescent="0.25">
      <c r="A35" s="152" t="str">
        <f>'Anx I Planilha de custos'!A7</f>
        <v>Arquiteto de Software - Master</v>
      </c>
      <c r="B35" s="310">
        <v>5</v>
      </c>
      <c r="C35" s="155">
        <v>2</v>
      </c>
      <c r="D35" s="309">
        <f>G20</f>
        <v>246</v>
      </c>
      <c r="E35" s="156">
        <f>(B35*C35)*D$35</f>
        <v>2460</v>
      </c>
      <c r="F35" s="156">
        <f t="shared" ref="F35:F41" si="2">H25</f>
        <v>14445.2376</v>
      </c>
      <c r="G35" s="156">
        <f t="shared" ref="G35:G41" si="3">IF(E35-F35&lt;=0,0,E35-F35)</f>
        <v>0</v>
      </c>
      <c r="H35" s="156">
        <f t="shared" ref="H35:H41" si="4">G35/24</f>
        <v>0</v>
      </c>
      <c r="I35" s="131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8" customHeight="1" x14ac:dyDescent="0.25">
      <c r="A36" s="152" t="str">
        <f>'Anx I Planilha de custos'!A8</f>
        <v>Engenheiro de software - Fullstack Master</v>
      </c>
      <c r="B36" s="199"/>
      <c r="C36" s="155">
        <v>2</v>
      </c>
      <c r="D36" s="199"/>
      <c r="E36" s="156">
        <f>(B35*C36)*D$35</f>
        <v>2460</v>
      </c>
      <c r="F36" s="156">
        <f t="shared" si="2"/>
        <v>12307.824000000002</v>
      </c>
      <c r="G36" s="156">
        <f t="shared" si="3"/>
        <v>0</v>
      </c>
      <c r="H36" s="156">
        <f t="shared" si="4"/>
        <v>0</v>
      </c>
      <c r="I36" s="131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8" customHeight="1" x14ac:dyDescent="0.25">
      <c r="A37" s="152" t="str">
        <f>'Anx I Planilha de custos'!A9</f>
        <v>Engenheiro de software - Fullstack Sênior</v>
      </c>
      <c r="B37" s="199"/>
      <c r="C37" s="155">
        <v>2</v>
      </c>
      <c r="D37" s="199"/>
      <c r="E37" s="156">
        <f>(B35*C37)*D$35</f>
        <v>2460</v>
      </c>
      <c r="F37" s="156">
        <f t="shared" si="2"/>
        <v>8232.48</v>
      </c>
      <c r="G37" s="156">
        <f t="shared" si="3"/>
        <v>0</v>
      </c>
      <c r="H37" s="156">
        <f t="shared" si="4"/>
        <v>0</v>
      </c>
      <c r="I37" s="131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8" customHeight="1" x14ac:dyDescent="0.25">
      <c r="A38" s="152" t="str">
        <f>'Anx I Planilha de custos'!A10</f>
        <v>Data Engineer - Master</v>
      </c>
      <c r="B38" s="199"/>
      <c r="C38" s="155">
        <v>2</v>
      </c>
      <c r="D38" s="199"/>
      <c r="E38" s="156">
        <f>(B35*C38)*D$35</f>
        <v>2460</v>
      </c>
      <c r="F38" s="156">
        <f t="shared" si="2"/>
        <v>11314.879199999999</v>
      </c>
      <c r="G38" s="156">
        <f t="shared" si="3"/>
        <v>0</v>
      </c>
      <c r="H38" s="156">
        <f t="shared" si="4"/>
        <v>0</v>
      </c>
      <c r="I38" s="131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8" customHeight="1" x14ac:dyDescent="0.25">
      <c r="A39" s="152" t="str">
        <f>'Anx I Planilha de custos'!A11</f>
        <v>Data Scientist - Master</v>
      </c>
      <c r="B39" s="199"/>
      <c r="C39" s="155">
        <v>2</v>
      </c>
      <c r="D39" s="199"/>
      <c r="E39" s="156">
        <f>(B35*C39)*D$35</f>
        <v>2460</v>
      </c>
      <c r="F39" s="156">
        <f t="shared" si="2"/>
        <v>10921.14</v>
      </c>
      <c r="G39" s="156">
        <f t="shared" si="3"/>
        <v>0</v>
      </c>
      <c r="H39" s="156">
        <f t="shared" si="4"/>
        <v>0</v>
      </c>
      <c r="I39" s="131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8" customHeight="1" x14ac:dyDescent="0.25">
      <c r="A40" s="152" t="str">
        <f>'Anx I Planilha de custos'!A12</f>
        <v>Platform Engineer - Master</v>
      </c>
      <c r="B40" s="199"/>
      <c r="C40" s="155">
        <v>2</v>
      </c>
      <c r="D40" s="199"/>
      <c r="E40" s="156">
        <f>(B35*C40)*D$35</f>
        <v>2460</v>
      </c>
      <c r="F40" s="156">
        <f t="shared" si="2"/>
        <v>11880</v>
      </c>
      <c r="G40" s="156">
        <f t="shared" si="3"/>
        <v>0</v>
      </c>
      <c r="H40" s="156">
        <f t="shared" si="4"/>
        <v>0</v>
      </c>
      <c r="I40" s="131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8" customHeight="1" x14ac:dyDescent="0.25">
      <c r="A41" s="152" t="str">
        <f>'Anx I Planilha de custos'!A13</f>
        <v>Cloud Engineer - Master</v>
      </c>
      <c r="B41" s="199"/>
      <c r="C41" s="155">
        <v>2</v>
      </c>
      <c r="D41" s="199"/>
      <c r="E41" s="156">
        <f>(B35*C41)*D$35</f>
        <v>2460</v>
      </c>
      <c r="F41" s="156">
        <f t="shared" si="2"/>
        <v>12960</v>
      </c>
      <c r="G41" s="156">
        <f t="shared" si="3"/>
        <v>0</v>
      </c>
      <c r="H41" s="156">
        <f t="shared" si="4"/>
        <v>0</v>
      </c>
      <c r="I41" s="131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8" customHeight="1" x14ac:dyDescent="0.25">
      <c r="A42" s="162"/>
      <c r="B42" s="162"/>
      <c r="C42" s="162"/>
      <c r="D42" s="162"/>
      <c r="E42" s="162"/>
      <c r="F42" s="162"/>
      <c r="G42" s="162"/>
      <c r="H42" s="163"/>
      <c r="I42" s="164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8" customHeight="1" x14ac:dyDescent="0.25">
      <c r="A43" s="320" t="s">
        <v>162</v>
      </c>
      <c r="B43" s="321"/>
      <c r="C43" s="321"/>
      <c r="D43" s="321"/>
      <c r="E43" s="321"/>
      <c r="F43" s="321"/>
      <c r="G43" s="321"/>
      <c r="H43" s="322"/>
      <c r="I43" s="165"/>
      <c r="J43" s="166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24.75" customHeight="1" x14ac:dyDescent="0.25">
      <c r="A44" s="312" t="s">
        <v>163</v>
      </c>
      <c r="B44" s="313"/>
      <c r="C44" s="313"/>
      <c r="D44" s="313"/>
      <c r="E44" s="313"/>
      <c r="F44" s="313"/>
      <c r="G44" s="313"/>
      <c r="H44" s="314"/>
      <c r="I44" s="167"/>
      <c r="J44" s="168"/>
      <c r="K44" s="126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28.5" customHeight="1" x14ac:dyDescent="0.25">
      <c r="A45" s="315"/>
      <c r="B45" s="316"/>
      <c r="C45" s="316"/>
      <c r="D45" s="316"/>
      <c r="E45" s="316"/>
      <c r="F45" s="316"/>
      <c r="G45" s="316"/>
      <c r="H45" s="317"/>
      <c r="I45" s="167"/>
      <c r="J45" s="16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24" customHeight="1" x14ac:dyDescent="0.25">
      <c r="A46" s="170"/>
      <c r="B46" s="170"/>
      <c r="C46" s="170"/>
      <c r="D46" s="170"/>
      <c r="E46" s="170"/>
      <c r="F46" s="170"/>
      <c r="G46" s="170"/>
      <c r="H46" s="171"/>
      <c r="I46" s="170"/>
      <c r="J46" s="16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21" customHeight="1" x14ac:dyDescent="0.25">
      <c r="A47" s="170"/>
      <c r="B47" s="170"/>
      <c r="C47" s="170"/>
      <c r="D47" s="170"/>
      <c r="E47" s="170"/>
      <c r="F47" s="170"/>
      <c r="G47" s="170"/>
      <c r="H47" s="171"/>
      <c r="I47" s="170"/>
      <c r="J47" s="16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3.5" customHeight="1" x14ac:dyDescent="0.25">
      <c r="A48" s="170"/>
      <c r="B48" s="170"/>
      <c r="C48" s="170"/>
      <c r="D48" s="170"/>
      <c r="E48" s="170"/>
      <c r="F48" s="170"/>
      <c r="G48" s="170"/>
      <c r="H48" s="171"/>
      <c r="I48" s="170"/>
      <c r="J48" s="16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34.5" customHeight="1" x14ac:dyDescent="0.25">
      <c r="A49" s="172"/>
      <c r="B49" s="172"/>
      <c r="C49" s="172"/>
      <c r="D49" s="172"/>
      <c r="E49" s="172"/>
      <c r="F49" s="172"/>
      <c r="G49" s="172"/>
      <c r="H49" s="172"/>
      <c r="I49" s="172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29.2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25.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3.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2.7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5.7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34.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42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3.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3.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23.2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173">
        <f>SUM(W19:W58)</f>
        <v>0</v>
      </c>
    </row>
    <row r="60" spans="1:23" ht="29.25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173">
        <f>W16+W59</f>
        <v>0</v>
      </c>
    </row>
  </sheetData>
  <mergeCells count="43">
    <mergeCell ref="M25:M31"/>
    <mergeCell ref="D19:F19"/>
    <mergeCell ref="A20:F20"/>
    <mergeCell ref="A22:H22"/>
    <mergeCell ref="J23:K24"/>
    <mergeCell ref="F23:F24"/>
    <mergeCell ref="G23:G24"/>
    <mergeCell ref="H23:H24"/>
    <mergeCell ref="A23:A24"/>
    <mergeCell ref="B23:B24"/>
    <mergeCell ref="C23:C24"/>
    <mergeCell ref="D23:D24"/>
    <mergeCell ref="E23:E24"/>
    <mergeCell ref="D25:D31"/>
    <mergeCell ref="G25:G31"/>
    <mergeCell ref="D35:D41"/>
    <mergeCell ref="B35:B41"/>
    <mergeCell ref="K25:K31"/>
    <mergeCell ref="A44:H45"/>
    <mergeCell ref="D33:D34"/>
    <mergeCell ref="E33:E34"/>
    <mergeCell ref="F33:F34"/>
    <mergeCell ref="G33:G34"/>
    <mergeCell ref="H33:H34"/>
    <mergeCell ref="A43:H43"/>
    <mergeCell ref="A33:A34"/>
    <mergeCell ref="B33:B34"/>
    <mergeCell ref="C33:C34"/>
    <mergeCell ref="A3:G3"/>
    <mergeCell ref="J3:O3"/>
    <mergeCell ref="A4:A5"/>
    <mergeCell ref="B4:F4"/>
    <mergeCell ref="J4:J5"/>
    <mergeCell ref="K4:K5"/>
    <mergeCell ref="M4:M5"/>
    <mergeCell ref="N4:N5"/>
    <mergeCell ref="L1:O1"/>
    <mergeCell ref="J2:M2"/>
    <mergeCell ref="O4:O5"/>
    <mergeCell ref="J22:N22"/>
    <mergeCell ref="M23:M24"/>
    <mergeCell ref="L23:L24"/>
    <mergeCell ref="N23:N24"/>
  </mergeCells>
  <hyperlinks>
    <hyperlink ref="A44" r:id="rId1" display="Para o valor Unitário do Vale Transporte, foi levado em consideração o preço praticado em Brasília, devendo a empresa aplicar o valor correspondente à sua realidade, no entanto, deverá ser observada a metodologia de cálculo constante na planilha de formação de preços, cuja comprovação deverá ser comprovada quando do encaminhamento da proposta vencedora._x000a_http://semob.df.gov.br/tarifas/" xr:uid="{00000000-0004-0000-0200-000000000000}"/>
  </hyperlinks>
  <pageMargins left="0.51181100000000002" right="0.51181100000000002" top="0.78740200000000005" bottom="0.78740200000000005" header="0.31496099999999999" footer="0.31496099999999999"/>
  <pageSetup orientation="landscape"/>
  <headerFooter>
    <oddHeader>&amp;C&amp;"Arial,Regular"&amp;26&amp;K000000Supremo Tribunal Federal</oddHead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2"/>
  <sheetViews>
    <sheetView showGridLines="0" workbookViewId="0"/>
  </sheetViews>
  <sheetFormatPr defaultColWidth="8.85546875" defaultRowHeight="15" customHeight="1" x14ac:dyDescent="0.25"/>
  <cols>
    <col min="1" max="1" width="9.140625" style="174" customWidth="1"/>
    <col min="2" max="2" width="32.42578125" style="174" customWidth="1"/>
    <col min="3" max="3" width="21.42578125" style="174" customWidth="1"/>
    <col min="4" max="4" width="20" style="174" customWidth="1"/>
    <col min="5" max="5" width="25.28515625" style="174" customWidth="1"/>
    <col min="6" max="6" width="23.28515625" style="174" customWidth="1"/>
    <col min="7" max="8" width="17.85546875" style="174" customWidth="1"/>
    <col min="9" max="9" width="20.42578125" style="174" customWidth="1"/>
    <col min="10" max="10" width="21.140625" style="174" customWidth="1"/>
    <col min="11" max="11" width="17.140625" style="174" customWidth="1"/>
    <col min="12" max="12" width="19.42578125" style="174" customWidth="1"/>
    <col min="13" max="13" width="22.42578125" style="174" customWidth="1"/>
    <col min="14" max="14" width="17.7109375" style="174" customWidth="1"/>
    <col min="15" max="15" width="23.28515625" style="174" customWidth="1"/>
    <col min="16" max="16" width="3.42578125" style="174" customWidth="1"/>
    <col min="17" max="17" width="23.28515625" style="174" customWidth="1"/>
    <col min="18" max="18" width="25.140625" style="174" customWidth="1"/>
    <col min="19" max="19" width="9.140625" style="174" customWidth="1"/>
    <col min="20" max="20" width="21.140625" style="174" customWidth="1"/>
    <col min="21" max="21" width="9.140625" style="174" customWidth="1"/>
    <col min="22" max="22" width="8.85546875" style="174" customWidth="1"/>
    <col min="23" max="16384" width="8.85546875" style="174"/>
  </cols>
  <sheetData>
    <row r="1" spans="1:21" ht="13.5" customHeight="1" x14ac:dyDescent="0.25">
      <c r="A1" s="57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9"/>
    </row>
    <row r="2" spans="1:21" ht="13.5" customHeight="1" x14ac:dyDescent="0.25">
      <c r="A2" s="49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48"/>
      <c r="Q2" s="48"/>
      <c r="R2" s="48"/>
      <c r="S2" s="48"/>
      <c r="T2" s="48"/>
      <c r="U2" s="31"/>
    </row>
    <row r="3" spans="1:21" ht="16.5" customHeight="1" x14ac:dyDescent="0.25">
      <c r="A3" s="62"/>
      <c r="B3" s="331" t="s">
        <v>164</v>
      </c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7"/>
      <c r="Q3" s="48"/>
      <c r="R3" s="48"/>
      <c r="S3" s="48"/>
      <c r="T3" s="48"/>
      <c r="U3" s="31"/>
    </row>
    <row r="4" spans="1:21" ht="15.75" customHeight="1" x14ac:dyDescent="0.25">
      <c r="A4" s="62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176"/>
      <c r="Q4" s="177"/>
      <c r="R4" s="177"/>
      <c r="S4" s="48"/>
      <c r="T4" s="48"/>
      <c r="U4" s="31"/>
    </row>
    <row r="5" spans="1:21" ht="32.25" customHeight="1" x14ac:dyDescent="0.25">
      <c r="A5" s="62"/>
      <c r="B5" s="329" t="s">
        <v>150</v>
      </c>
      <c r="C5" s="331" t="s">
        <v>3</v>
      </c>
      <c r="D5" s="332"/>
      <c r="E5" s="332"/>
      <c r="F5" s="332"/>
      <c r="G5" s="332"/>
      <c r="H5" s="332"/>
      <c r="I5" s="331" t="s">
        <v>4</v>
      </c>
      <c r="J5" s="332"/>
      <c r="K5" s="332"/>
      <c r="L5" s="329" t="s">
        <v>165</v>
      </c>
      <c r="M5" s="329" t="s">
        <v>166</v>
      </c>
      <c r="N5" s="329" t="s">
        <v>7</v>
      </c>
      <c r="O5" s="329" t="s">
        <v>167</v>
      </c>
      <c r="P5" s="7"/>
      <c r="Q5" s="48"/>
      <c r="R5" s="48"/>
      <c r="S5" s="48"/>
      <c r="T5" s="48"/>
      <c r="U5" s="31"/>
    </row>
    <row r="6" spans="1:21" ht="101.25" customHeight="1" x14ac:dyDescent="0.25">
      <c r="A6" s="62"/>
      <c r="B6" s="330"/>
      <c r="C6" s="329" t="s">
        <v>12</v>
      </c>
      <c r="D6" s="329" t="s">
        <v>168</v>
      </c>
      <c r="E6" s="329" t="s">
        <v>100</v>
      </c>
      <c r="F6" s="329" t="s">
        <v>169</v>
      </c>
      <c r="G6" s="329" t="s">
        <v>170</v>
      </c>
      <c r="H6" s="329" t="s">
        <v>171</v>
      </c>
      <c r="I6" s="329" t="s">
        <v>172</v>
      </c>
      <c r="J6" s="329" t="s">
        <v>173</v>
      </c>
      <c r="K6" s="329" t="s">
        <v>174</v>
      </c>
      <c r="L6" s="330"/>
      <c r="M6" s="330"/>
      <c r="N6" s="330"/>
      <c r="O6" s="330"/>
      <c r="P6" s="7"/>
      <c r="Q6" s="48"/>
      <c r="R6" s="48"/>
      <c r="S6" s="48"/>
      <c r="T6" s="48"/>
      <c r="U6" s="31"/>
    </row>
    <row r="7" spans="1:21" ht="18" customHeight="1" x14ac:dyDescent="0.25">
      <c r="A7" s="62"/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7"/>
      <c r="Q7" s="48"/>
      <c r="R7" s="48"/>
      <c r="S7" s="48"/>
      <c r="T7" s="48"/>
      <c r="U7" s="31"/>
    </row>
    <row r="8" spans="1:21" ht="50.25" customHeight="1" x14ac:dyDescent="0.25">
      <c r="A8" s="62"/>
      <c r="B8" s="330"/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7"/>
      <c r="Q8" s="48"/>
      <c r="R8" s="48"/>
      <c r="S8" s="48"/>
      <c r="T8" s="48"/>
      <c r="U8" s="31"/>
    </row>
    <row r="9" spans="1:21" ht="42.75" customHeight="1" x14ac:dyDescent="0.25">
      <c r="A9" s="62"/>
      <c r="B9" s="330"/>
      <c r="C9" s="330"/>
      <c r="D9" s="178">
        <v>8.3299999999999999E-2</v>
      </c>
      <c r="E9" s="178">
        <v>8.3299999999999999E-2</v>
      </c>
      <c r="F9" s="178">
        <v>2.7799999999999998E-2</v>
      </c>
      <c r="G9" s="178">
        <f>'Anx II- Encargos Sociais'!$D$15</f>
        <v>0.39800000000000008</v>
      </c>
      <c r="H9" s="330"/>
      <c r="I9" s="179" t="s">
        <v>26</v>
      </c>
      <c r="J9" s="179" t="s">
        <v>26</v>
      </c>
      <c r="K9" s="330"/>
      <c r="L9" s="330"/>
      <c r="M9" s="180">
        <f>'Anx II- Encargos Sociais'!K14</f>
        <v>0.31020408163265345</v>
      </c>
      <c r="N9" s="330"/>
      <c r="O9" s="330"/>
      <c r="P9" s="7"/>
      <c r="Q9" s="48"/>
      <c r="R9" s="48"/>
      <c r="S9" s="48"/>
      <c r="T9" s="48"/>
      <c r="U9" s="31"/>
    </row>
    <row r="10" spans="1:21" ht="16.5" customHeight="1" x14ac:dyDescent="0.25">
      <c r="A10" s="181"/>
      <c r="B10" s="11" t="s">
        <v>33</v>
      </c>
      <c r="C10" s="12">
        <v>20062.830000000002</v>
      </c>
      <c r="D10" s="158">
        <f t="shared" ref="D10:D16" si="0">C10*$D$9</f>
        <v>1671.233739</v>
      </c>
      <c r="E10" s="158">
        <f t="shared" ref="E10:E16" si="1">C10*$E$9</f>
        <v>1671.233739</v>
      </c>
      <c r="F10" s="157">
        <f t="shared" ref="F10:F16" si="2">$F$9*C10</f>
        <v>557.74667399999998</v>
      </c>
      <c r="G10" s="157">
        <f t="shared" ref="G10:G16" si="3">($G$9*D10)+(E10*$G$9)</f>
        <v>1330.3020562440004</v>
      </c>
      <c r="H10" s="157">
        <f t="shared" ref="H10:H16" si="4">C10+D10+F10+G10+E10</f>
        <v>25293.346208243998</v>
      </c>
      <c r="I10" s="157">
        <f>'Anx III - Horas, VT,VR, '!$O$6</f>
        <v>588.1450000000001</v>
      </c>
      <c r="J10" s="157">
        <f>'Anx III - Horas, VT,VR, '!H35</f>
        <v>0</v>
      </c>
      <c r="K10" s="157">
        <f t="shared" ref="K10:K16" si="5">I10+J10</f>
        <v>588.1450000000001</v>
      </c>
      <c r="L10" s="157">
        <f t="shared" ref="L10:L16" si="6">H10+K10</f>
        <v>25881.491208243999</v>
      </c>
      <c r="M10" s="157">
        <f t="shared" ref="M10:M16" si="7">L10*$M$9</f>
        <v>8028.5442115369242</v>
      </c>
      <c r="N10" s="157">
        <f t="shared" ref="N10:N16" si="8">L10+M10</f>
        <v>33910.035419780921</v>
      </c>
      <c r="O10" s="158">
        <f t="shared" ref="O10:O16" si="9">N10/200</f>
        <v>169.55017709890461</v>
      </c>
      <c r="P10" s="182"/>
      <c r="Q10" s="48"/>
      <c r="R10" s="48"/>
      <c r="S10" s="48"/>
      <c r="T10" s="48"/>
      <c r="U10" s="31"/>
    </row>
    <row r="11" spans="1:21" ht="39" customHeight="1" x14ac:dyDescent="0.25">
      <c r="A11" s="181"/>
      <c r="B11" s="11" t="s">
        <v>34</v>
      </c>
      <c r="C11" s="12">
        <v>17094.2</v>
      </c>
      <c r="D11" s="158">
        <f t="shared" si="0"/>
        <v>1423.94686</v>
      </c>
      <c r="E11" s="158">
        <f t="shared" si="1"/>
        <v>1423.94686</v>
      </c>
      <c r="F11" s="157">
        <f t="shared" si="2"/>
        <v>475.21875999999997</v>
      </c>
      <c r="G11" s="157">
        <f t="shared" si="3"/>
        <v>1133.4617005600003</v>
      </c>
      <c r="H11" s="157">
        <f t="shared" si="4"/>
        <v>21550.774180560002</v>
      </c>
      <c r="I11" s="157">
        <f>'Anx III - Horas, VT,VR, '!$O$6</f>
        <v>588.1450000000001</v>
      </c>
      <c r="J11" s="157">
        <f>'Anx III - Horas, VT,VR, '!H36</f>
        <v>0</v>
      </c>
      <c r="K11" s="157">
        <f t="shared" si="5"/>
        <v>588.1450000000001</v>
      </c>
      <c r="L11" s="157">
        <f t="shared" si="6"/>
        <v>22138.919180560002</v>
      </c>
      <c r="M11" s="157">
        <f t="shared" si="7"/>
        <v>6867.5830927451525</v>
      </c>
      <c r="N11" s="157">
        <f t="shared" si="8"/>
        <v>29006.502273305156</v>
      </c>
      <c r="O11" s="158">
        <f t="shared" si="9"/>
        <v>145.03251136652577</v>
      </c>
      <c r="P11" s="7"/>
      <c r="Q11" s="48"/>
      <c r="R11" s="48"/>
      <c r="S11" s="48"/>
      <c r="T11" s="48"/>
      <c r="U11" s="31"/>
    </row>
    <row r="12" spans="1:21" ht="30" customHeight="1" x14ac:dyDescent="0.25">
      <c r="A12" s="62"/>
      <c r="B12" s="11" t="s">
        <v>21</v>
      </c>
      <c r="C12" s="12">
        <v>11434</v>
      </c>
      <c r="D12" s="158">
        <f t="shared" si="0"/>
        <v>952.45219999999995</v>
      </c>
      <c r="E12" s="158">
        <f t="shared" si="1"/>
        <v>952.45219999999995</v>
      </c>
      <c r="F12" s="157">
        <f t="shared" si="2"/>
        <v>317.86519999999996</v>
      </c>
      <c r="G12" s="157">
        <f t="shared" si="3"/>
        <v>758.1519512000001</v>
      </c>
      <c r="H12" s="157">
        <f t="shared" si="4"/>
        <v>14414.921551199999</v>
      </c>
      <c r="I12" s="157">
        <f>'Anx III - Horas, VT,VR, '!$O$6</f>
        <v>588.1450000000001</v>
      </c>
      <c r="J12" s="157">
        <f>'Anx III - Horas, VT,VR, '!H37</f>
        <v>0</v>
      </c>
      <c r="K12" s="157">
        <f t="shared" si="5"/>
        <v>588.1450000000001</v>
      </c>
      <c r="L12" s="157">
        <f t="shared" si="6"/>
        <v>15003.0665512</v>
      </c>
      <c r="M12" s="157">
        <f t="shared" si="7"/>
        <v>4654.0124811885771</v>
      </c>
      <c r="N12" s="157">
        <f t="shared" si="8"/>
        <v>19657.079032388578</v>
      </c>
      <c r="O12" s="158">
        <f t="shared" si="9"/>
        <v>98.285395161942887</v>
      </c>
      <c r="P12" s="7"/>
      <c r="Q12" s="48"/>
      <c r="R12" s="51"/>
      <c r="S12" s="48"/>
      <c r="T12" s="48"/>
      <c r="U12" s="183"/>
    </row>
    <row r="13" spans="1:21" ht="35.25" customHeight="1" x14ac:dyDescent="0.25">
      <c r="A13" s="62"/>
      <c r="B13" s="11" t="s">
        <v>35</v>
      </c>
      <c r="C13" s="12">
        <v>15715.11</v>
      </c>
      <c r="D13" s="158">
        <f t="shared" si="0"/>
        <v>1309.068663</v>
      </c>
      <c r="E13" s="158">
        <f t="shared" si="1"/>
        <v>1309.068663</v>
      </c>
      <c r="F13" s="157">
        <f t="shared" si="2"/>
        <v>436.88005799999996</v>
      </c>
      <c r="G13" s="157">
        <f t="shared" si="3"/>
        <v>1042.0186557480001</v>
      </c>
      <c r="H13" s="157">
        <f t="shared" si="4"/>
        <v>19812.146039747997</v>
      </c>
      <c r="I13" s="157">
        <f>'Anx III - Horas, VT,VR, '!$O$6</f>
        <v>588.1450000000001</v>
      </c>
      <c r="J13" s="157">
        <f>'Anx III - Horas, VT,VR, '!H38</f>
        <v>0</v>
      </c>
      <c r="K13" s="157">
        <f t="shared" si="5"/>
        <v>588.1450000000001</v>
      </c>
      <c r="L13" s="157">
        <f t="shared" si="6"/>
        <v>20400.291039747997</v>
      </c>
      <c r="M13" s="157">
        <f t="shared" si="7"/>
        <v>6328.2535470238763</v>
      </c>
      <c r="N13" s="157">
        <f t="shared" si="8"/>
        <v>26728.544586771874</v>
      </c>
      <c r="O13" s="158">
        <f t="shared" si="9"/>
        <v>133.64272293385937</v>
      </c>
      <c r="P13" s="7"/>
      <c r="Q13" s="48"/>
      <c r="R13" s="48"/>
      <c r="S13" s="48"/>
      <c r="T13" s="48"/>
      <c r="U13" s="184"/>
    </row>
    <row r="14" spans="1:21" ht="15" customHeight="1" x14ac:dyDescent="0.25">
      <c r="A14" s="62"/>
      <c r="B14" s="11" t="s">
        <v>175</v>
      </c>
      <c r="C14" s="12">
        <v>15168.25</v>
      </c>
      <c r="D14" s="158">
        <f t="shared" si="0"/>
        <v>1263.5152249999999</v>
      </c>
      <c r="E14" s="158">
        <f t="shared" si="1"/>
        <v>1263.5152249999999</v>
      </c>
      <c r="F14" s="157">
        <f t="shared" si="2"/>
        <v>421.67734999999999</v>
      </c>
      <c r="G14" s="157">
        <f t="shared" si="3"/>
        <v>1005.7581191</v>
      </c>
      <c r="H14" s="157">
        <f t="shared" si="4"/>
        <v>19122.715919099999</v>
      </c>
      <c r="I14" s="157">
        <f>'Anx III - Horas, VT,VR, '!$O$6</f>
        <v>588.1450000000001</v>
      </c>
      <c r="J14" s="157">
        <f>'Anx III - Horas, VT,VR, '!H39</f>
        <v>0</v>
      </c>
      <c r="K14" s="157">
        <f t="shared" si="5"/>
        <v>588.1450000000001</v>
      </c>
      <c r="L14" s="157">
        <f t="shared" si="6"/>
        <v>19710.8609191</v>
      </c>
      <c r="M14" s="157">
        <f t="shared" si="7"/>
        <v>6114.3895095983753</v>
      </c>
      <c r="N14" s="157">
        <f t="shared" si="8"/>
        <v>25825.250428698375</v>
      </c>
      <c r="O14" s="158">
        <f t="shared" si="9"/>
        <v>129.12625214349188</v>
      </c>
      <c r="P14" s="7"/>
      <c r="Q14" s="48"/>
      <c r="R14" s="48"/>
      <c r="S14" s="48"/>
      <c r="T14" s="48"/>
      <c r="U14" s="31"/>
    </row>
    <row r="15" spans="1:21" ht="15" customHeight="1" x14ac:dyDescent="0.25">
      <c r="A15" s="62"/>
      <c r="B15" s="11" t="s">
        <v>36</v>
      </c>
      <c r="C15" s="12">
        <v>16500</v>
      </c>
      <c r="D15" s="158">
        <f t="shared" si="0"/>
        <v>1374.45</v>
      </c>
      <c r="E15" s="158">
        <f t="shared" si="1"/>
        <v>1374.45</v>
      </c>
      <c r="F15" s="157">
        <f t="shared" si="2"/>
        <v>458.7</v>
      </c>
      <c r="G15" s="157">
        <f t="shared" si="3"/>
        <v>1094.0622000000003</v>
      </c>
      <c r="H15" s="157">
        <f t="shared" si="4"/>
        <v>20801.662200000002</v>
      </c>
      <c r="I15" s="157">
        <f>'Anx III - Horas, VT,VR, '!$O$6</f>
        <v>588.1450000000001</v>
      </c>
      <c r="J15" s="157">
        <f>'Anx III - Horas, VT,VR, '!H40</f>
        <v>0</v>
      </c>
      <c r="K15" s="157">
        <f t="shared" si="5"/>
        <v>588.1450000000001</v>
      </c>
      <c r="L15" s="157">
        <f t="shared" si="6"/>
        <v>21389.807200000003</v>
      </c>
      <c r="M15" s="157">
        <f t="shared" si="7"/>
        <v>6635.2054987755191</v>
      </c>
      <c r="N15" s="157">
        <f t="shared" si="8"/>
        <v>28025.012698775521</v>
      </c>
      <c r="O15" s="158">
        <f t="shared" si="9"/>
        <v>140.1250634938776</v>
      </c>
      <c r="P15" s="7"/>
      <c r="Q15" s="48"/>
      <c r="R15" s="48"/>
      <c r="S15" s="48"/>
      <c r="T15" s="48"/>
      <c r="U15" s="31"/>
    </row>
    <row r="16" spans="1:21" ht="15" customHeight="1" x14ac:dyDescent="0.25">
      <c r="A16" s="62"/>
      <c r="B16" s="11" t="s">
        <v>37</v>
      </c>
      <c r="C16" s="12">
        <v>18000</v>
      </c>
      <c r="D16" s="158">
        <f t="shared" si="0"/>
        <v>1499.4</v>
      </c>
      <c r="E16" s="158">
        <f t="shared" si="1"/>
        <v>1499.4</v>
      </c>
      <c r="F16" s="157">
        <f t="shared" si="2"/>
        <v>500.4</v>
      </c>
      <c r="G16" s="157">
        <f t="shared" si="3"/>
        <v>1193.5224000000003</v>
      </c>
      <c r="H16" s="157">
        <f t="shared" si="4"/>
        <v>22692.722400000006</v>
      </c>
      <c r="I16" s="157">
        <f>'Anx III - Horas, VT,VR, '!$O$6</f>
        <v>588.1450000000001</v>
      </c>
      <c r="J16" s="157">
        <f>'Anx III - Horas, VT,VR, '!H41</f>
        <v>0</v>
      </c>
      <c r="K16" s="157">
        <f t="shared" si="5"/>
        <v>588.1450000000001</v>
      </c>
      <c r="L16" s="157">
        <f t="shared" si="6"/>
        <v>23280.867400000006</v>
      </c>
      <c r="M16" s="157">
        <f t="shared" si="7"/>
        <v>7221.8200914285826</v>
      </c>
      <c r="N16" s="157">
        <f t="shared" si="8"/>
        <v>30502.687491428587</v>
      </c>
      <c r="O16" s="158">
        <f t="shared" si="9"/>
        <v>152.51343745714294</v>
      </c>
      <c r="P16" s="7"/>
      <c r="Q16" s="48"/>
      <c r="R16" s="48"/>
      <c r="S16" s="48"/>
      <c r="T16" s="48"/>
      <c r="U16" s="31"/>
    </row>
    <row r="17" spans="1:21" ht="13.5" customHeight="1" x14ac:dyDescent="0.25">
      <c r="A17" s="49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8"/>
      <c r="Q17" s="48"/>
      <c r="R17" s="48"/>
      <c r="S17" s="48"/>
      <c r="T17" s="48"/>
      <c r="U17" s="31"/>
    </row>
    <row r="18" spans="1:21" ht="15.75" customHeight="1" x14ac:dyDescent="0.25">
      <c r="A18" s="49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31"/>
    </row>
    <row r="19" spans="1:21" ht="15.75" customHeight="1" x14ac:dyDescent="0.25">
      <c r="A19" s="49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31"/>
    </row>
    <row r="20" spans="1:21" ht="15.75" customHeight="1" x14ac:dyDescent="0.25">
      <c r="A20" s="49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31"/>
    </row>
    <row r="21" spans="1:21" ht="15" customHeight="1" x14ac:dyDescent="0.2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31"/>
    </row>
    <row r="22" spans="1:21" ht="15" customHeight="1" x14ac:dyDescent="0.25">
      <c r="A22" s="5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5"/>
    </row>
  </sheetData>
  <mergeCells count="17">
    <mergeCell ref="F6:F8"/>
    <mergeCell ref="G6:G8"/>
    <mergeCell ref="H6:H9"/>
    <mergeCell ref="I6:I8"/>
    <mergeCell ref="J6:J8"/>
    <mergeCell ref="B3:O4"/>
    <mergeCell ref="B5:B9"/>
    <mergeCell ref="C5:H5"/>
    <mergeCell ref="I5:K5"/>
    <mergeCell ref="L5:L9"/>
    <mergeCell ref="M5:M8"/>
    <mergeCell ref="N5:N9"/>
    <mergeCell ref="O5:O9"/>
    <mergeCell ref="C6:C9"/>
    <mergeCell ref="D6:D8"/>
    <mergeCell ref="K6:K9"/>
    <mergeCell ref="E6:E8"/>
  </mergeCells>
  <pageMargins left="0.51181100000000002" right="0.51181100000000002" top="0.78740200000000005" bottom="0.78740200000000005" header="0.31496099999999999" footer="0.31496099999999999"/>
  <pageSetup scale="33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Anx I Planilha de custos</vt:lpstr>
      <vt:lpstr>Anx II- Encargos Sociais</vt:lpstr>
      <vt:lpstr>Anx III - Horas, VT,VR, </vt:lpstr>
      <vt:lpstr>Anx IV - Cálculo Cobertura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 Augusto Barros Gadelha</dc:creator>
  <cp:lastModifiedBy>Cezar Augusto Barros Gadelha</cp:lastModifiedBy>
  <dcterms:created xsi:type="dcterms:W3CDTF">2021-12-01T22:48:29Z</dcterms:created>
  <dcterms:modified xsi:type="dcterms:W3CDTF">2022-02-17T20:44:56Z</dcterms:modified>
</cp:coreProperties>
</file>