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P:\LICITAÇÕES 2022\PROCESSOS ELETRÔNICOS\PRE 01 - 00043-21 - Apoio Telefonia\09 NOVA PLANILHA\"/>
    </mc:Choice>
  </mc:AlternateContent>
  <xr:revisionPtr revIDLastSave="0" documentId="8_{BEFE037D-1712-4A9C-B516-84445E52142B}" xr6:coauthVersionLast="46" xr6:coauthVersionMax="46" xr10:uidLastSave="{00000000-0000-0000-0000-000000000000}"/>
  <bookViews>
    <workbookView xWindow="-120" yWindow="-120" windowWidth="29040" windowHeight="15840" tabRatio="552" xr2:uid="{00000000-000D-0000-FFFF-FFFF00000000}"/>
  </bookViews>
  <sheets>
    <sheet name="0105 A 300423" sheetId="2" r:id="rId1"/>
    <sheet name="AA AT HORAS" sheetId="3" r:id="rId2"/>
    <sheet name="Encargos Sociais" sheetId="7" r:id="rId3"/>
    <sheet name="Cálculo Cobertura" sheetId="5" r:id="rId4"/>
  </sheets>
  <externalReferences>
    <externalReference r:id="rId5"/>
    <externalReference r:id="rId6"/>
  </externalReferences>
  <definedNames>
    <definedName name="aa">#REF!</definedName>
    <definedName name="adasda">#REF!</definedName>
    <definedName name="_xlnm.Print_Area" localSheetId="0">'0105 A 300423'!$A$1:$Q$34</definedName>
    <definedName name="_xlnm.Print_Area" localSheetId="1">'AA AT HORAS'!$A$1:$N$51</definedName>
    <definedName name="BDI" localSheetId="0">[1]Desoneração!#REF!</definedName>
    <definedName name="BDI" localSheetId="3">#REF!</definedName>
    <definedName name="BDI">[1]Desoneração!#REF!</definedName>
    <definedName name="Print_Area" localSheetId="0">'0105 A 300423'!$A$1:$Q$32</definedName>
    <definedName name="Print_Area" localSheetId="1">'AA AT HORAS'!$D$1:$M$50</definedName>
    <definedName name="Print_Area" localSheetId="3">'Cálculo Cobertura'!$A$2:$P$10</definedName>
    <definedName name="Qtd_Dias" localSheetId="3">'[2]HORAS,VT,VA'!#REF!</definedName>
    <definedName name="Qtd_Dias">'[1]HORAS,VT,VA,CAFÉ'!$B$19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2" l="1"/>
  <c r="N28" i="2"/>
  <c r="N26" i="2"/>
  <c r="N24" i="2"/>
  <c r="N22" i="2"/>
  <c r="N20" i="2"/>
  <c r="H24" i="3" l="1"/>
  <c r="K26" i="3" l="1"/>
  <c r="J26" i="3"/>
  <c r="G24" i="3" l="1"/>
  <c r="F24" i="3"/>
  <c r="E24" i="3"/>
  <c r="P31" i="3" l="1"/>
  <c r="P34" i="3" l="1"/>
  <c r="D34" i="3"/>
  <c r="D32" i="3"/>
  <c r="P30" i="2" l="1"/>
  <c r="Q30" i="2" s="1"/>
  <c r="P26" i="2"/>
  <c r="Q26" i="2" s="1"/>
  <c r="H50" i="3" l="1"/>
  <c r="H49" i="3"/>
  <c r="K35" i="7" l="1"/>
  <c r="J35" i="7"/>
  <c r="D31" i="7"/>
  <c r="E20" i="7"/>
  <c r="K34" i="7" s="1"/>
  <c r="D20" i="7"/>
  <c r="J34" i="7" s="1"/>
  <c r="E19" i="7"/>
  <c r="K30" i="7" s="1"/>
  <c r="D19" i="7"/>
  <c r="J30" i="7" s="1"/>
  <c r="E18" i="7"/>
  <c r="D18" i="7"/>
  <c r="D13" i="7"/>
  <c r="D15" i="7" s="1"/>
  <c r="K9" i="7"/>
  <c r="K14" i="7" s="1"/>
  <c r="J9" i="7"/>
  <c r="J14" i="7" s="1"/>
  <c r="J27" i="7" l="1"/>
  <c r="G9" i="5"/>
  <c r="L13" i="2"/>
  <c r="M9" i="5"/>
  <c r="D25" i="7"/>
  <c r="D33" i="7" s="1"/>
  <c r="D34" i="7" s="1"/>
  <c r="D36" i="7" s="1"/>
  <c r="F13" i="2" s="1"/>
  <c r="E25" i="7"/>
  <c r="E33" i="7" s="1"/>
  <c r="E34" i="7" s="1"/>
  <c r="E36" i="7" s="1"/>
  <c r="K27" i="7"/>
  <c r="J29" i="7"/>
  <c r="J31" i="7" s="1"/>
  <c r="J33" i="7" s="1"/>
  <c r="K29" i="7"/>
  <c r="K31" i="7" s="1"/>
  <c r="G32" i="3"/>
  <c r="G34" i="3"/>
  <c r="B11" i="5"/>
  <c r="B10" i="5"/>
  <c r="F15" i="2" l="1"/>
  <c r="G15" i="2" s="1"/>
  <c r="F14" i="2"/>
  <c r="G14" i="2" s="1"/>
  <c r="J36" i="7"/>
  <c r="K33" i="7"/>
  <c r="K36" i="7" s="1"/>
  <c r="D50" i="3" l="1"/>
  <c r="D49" i="3"/>
  <c r="L43" i="3"/>
  <c r="D42" i="3"/>
  <c r="L41" i="3"/>
  <c r="D40" i="3"/>
  <c r="S40" i="3"/>
  <c r="H34" i="3"/>
  <c r="H32" i="3"/>
  <c r="P22" i="2"/>
  <c r="Q22" i="2" s="1"/>
  <c r="P18" i="2"/>
  <c r="Q18" i="2" s="1"/>
  <c r="O16" i="2"/>
  <c r="P24" i="2" s="1"/>
  <c r="Q24" i="2" s="1"/>
  <c r="C10" i="5" l="1"/>
  <c r="C11" i="5"/>
  <c r="E25" i="3"/>
  <c r="I50" i="3" s="1"/>
  <c r="J50" i="3" s="1"/>
  <c r="K50" i="3" s="1"/>
  <c r="P28" i="2"/>
  <c r="P20" i="2"/>
  <c r="Q20" i="2" s="1"/>
  <c r="Q28" i="2" l="1"/>
  <c r="Q31" i="2" s="1"/>
  <c r="P31" i="2"/>
  <c r="I11" i="5"/>
  <c r="H15" i="2"/>
  <c r="F11" i="5"/>
  <c r="E11" i="5"/>
  <c r="D11" i="5"/>
  <c r="D10" i="5"/>
  <c r="F10" i="5"/>
  <c r="E10" i="5"/>
  <c r="I49" i="3"/>
  <c r="J49" i="3" s="1"/>
  <c r="K49" i="3" s="1"/>
  <c r="L32" i="3"/>
  <c r="I34" i="3"/>
  <c r="J34" i="3" s="1"/>
  <c r="K34" i="3" s="1"/>
  <c r="I40" i="3"/>
  <c r="J40" i="3" s="1"/>
  <c r="L34" i="3"/>
  <c r="I32" i="3"/>
  <c r="J32" i="3" s="1"/>
  <c r="K32" i="3" s="1"/>
  <c r="I42" i="3"/>
  <c r="J42" i="3" s="1"/>
  <c r="M32" i="3" l="1"/>
  <c r="K40" i="3" s="1"/>
  <c r="L40" i="3" s="1"/>
  <c r="M40" i="3" s="1"/>
  <c r="I14" i="2" s="1"/>
  <c r="I10" i="5"/>
  <c r="H14" i="2"/>
  <c r="M34" i="3"/>
  <c r="K42" i="3" s="1"/>
  <c r="L42" i="3" s="1"/>
  <c r="M42" i="3" s="1"/>
  <c r="G11" i="5"/>
  <c r="H11" i="5" s="1"/>
  <c r="G10" i="5"/>
  <c r="H10" i="5" s="1"/>
  <c r="G16" i="2"/>
  <c r="J10" i="5" l="1"/>
  <c r="K10" i="5" s="1"/>
  <c r="L10" i="5" s="1"/>
  <c r="M10" i="5" s="1"/>
  <c r="N10" i="5" s="1"/>
  <c r="O10" i="5" s="1"/>
  <c r="J14" i="2"/>
  <c r="K14" i="2" s="1"/>
  <c r="J11" i="5"/>
  <c r="K11" i="5" s="1"/>
  <c r="L11" i="5" s="1"/>
  <c r="M11" i="5" s="1"/>
  <c r="N11" i="5" s="1"/>
  <c r="O11" i="5" s="1"/>
  <c r="I15" i="2"/>
  <c r="J15" i="2" s="1"/>
  <c r="L14" i="2" l="1"/>
  <c r="M14" i="2" s="1"/>
  <c r="J16" i="2"/>
  <c r="K15" i="2"/>
  <c r="P14" i="2" l="1"/>
  <c r="Q14" i="2" s="1"/>
  <c r="R31" i="3"/>
  <c r="T31" i="3" s="1"/>
  <c r="N14" i="2"/>
  <c r="L15" i="2"/>
  <c r="M15" i="2" s="1"/>
  <c r="R34" i="3" s="1"/>
  <c r="T34" i="3" s="1"/>
  <c r="K16" i="2"/>
  <c r="N15" i="2" l="1"/>
  <c r="P15" i="2"/>
  <c r="Q15" i="2" l="1"/>
  <c r="Q16" i="2" s="1"/>
  <c r="P16" i="2"/>
  <c r="P32" i="2" s="1"/>
  <c r="Q32" i="2" l="1"/>
  <c r="P35" i="2" s="1"/>
</calcChain>
</file>

<file path=xl/sharedStrings.xml><?xml version="1.0" encoding="utf-8"?>
<sst xmlns="http://schemas.openxmlformats.org/spreadsheetml/2006/main" count="216" uniqueCount="166">
  <si>
    <t>Posto de Trabalho</t>
  </si>
  <si>
    <t>Jornada de Trabalho</t>
  </si>
  <si>
    <t>MONTANTE A</t>
  </si>
  <si>
    <t>MONTANTE B</t>
  </si>
  <si>
    <t>Somatório Montantes 
"A" e "B"</t>
  </si>
  <si>
    <t>Quantidade de profissionais por posto de trabalho</t>
  </si>
  <si>
    <t>Salário-base</t>
  </si>
  <si>
    <t>Salário</t>
  </si>
  <si>
    <t>Encargos Sociais</t>
  </si>
  <si>
    <t>Total Unitário Montante "A"</t>
  </si>
  <si>
    <t>Valor do Auxílio-Alimentação</t>
  </si>
  <si>
    <t>Valor do Auxílio-transporte</t>
  </si>
  <si>
    <t>Total Unitário Montante "B"</t>
  </si>
  <si>
    <t>40h 
semanais</t>
  </si>
  <si>
    <t>30h 
semanais</t>
  </si>
  <si>
    <t>Subtotal 1</t>
  </si>
  <si>
    <t>Qtd.</t>
  </si>
  <si>
    <t>Valor Unit.</t>
  </si>
  <si>
    <t>Valor Mensal</t>
  </si>
  <si>
    <t>Valor Anual</t>
  </si>
  <si>
    <t>Subtotal 2</t>
  </si>
  <si>
    <t>Total - Somatório do Subtotal 1 e do Subtotal 2</t>
  </si>
  <si>
    <t>GARANTIA</t>
  </si>
  <si>
    <t>MÊS</t>
  </si>
  <si>
    <t>Nº de Sábados</t>
  </si>
  <si>
    <t>Nº de Domingos e Feriados</t>
  </si>
  <si>
    <t>DIAS ÚTEIS</t>
  </si>
  <si>
    <t>TOTAL DE HORAS DE FUNCIONAMENTO NO PERÍODO</t>
  </si>
  <si>
    <t>CÁLCULO DO CUSTO DO AUXÍLIO-TRANSPORTE</t>
  </si>
  <si>
    <t>Posto de trabalho</t>
  </si>
  <si>
    <t>Dias úteis no ano</t>
  </si>
  <si>
    <t>Dias Trabalhados no ano</t>
  </si>
  <si>
    <t>Participação funcionário (anual)</t>
  </si>
  <si>
    <t>x
resultado</t>
  </si>
  <si>
    <t>Técnico em telecomunicações</t>
  </si>
  <si>
    <t>Valor unitário do vale</t>
  </si>
  <si>
    <t>Quantidade diária</t>
  </si>
  <si>
    <t>Resultado</t>
  </si>
  <si>
    <t>Participação empresa (anual)</t>
  </si>
  <si>
    <t>Participação empresa (mensal)</t>
  </si>
  <si>
    <t>CÁLCULO AUXÍLIO-ALIMENTAÇÃO</t>
  </si>
  <si>
    <t>Valor Unitário</t>
  </si>
  <si>
    <t>% de subsídio
PAT ou CCT</t>
  </si>
  <si>
    <t>Dias Úteis</t>
  </si>
  <si>
    <t>Valor anual do auxílio- alimentação</t>
  </si>
  <si>
    <t>Valor estimado mensal</t>
  </si>
  <si>
    <t xml:space="preserve"> MÁXIMOS DE ENCARGOS SOCIAIS </t>
  </si>
  <si>
    <t>Item</t>
  </si>
  <si>
    <t>Título</t>
  </si>
  <si>
    <t>%</t>
  </si>
  <si>
    <t>RISCO ACIDENTE DE TRABALHO AJUSTADO (**)</t>
  </si>
  <si>
    <t>TRIBUTAÇÃO</t>
  </si>
  <si>
    <t>DESCRIÇÃO</t>
  </si>
  <si>
    <t>A</t>
  </si>
  <si>
    <t>B</t>
  </si>
  <si>
    <t>C</t>
  </si>
  <si>
    <t>ISS</t>
  </si>
  <si>
    <t>COFINS</t>
  </si>
  <si>
    <t>PIS</t>
  </si>
  <si>
    <t xml:space="preserve">Onde:            </t>
  </si>
  <si>
    <t>INCIDÊNCIA DE A SOBRE B</t>
  </si>
  <si>
    <t>CÁLCULO DO PROFISSIONAL DE COBERTURA</t>
  </si>
  <si>
    <t>Postos de Trabalho</t>
  </si>
  <si>
    <t>MONTANTE "A"</t>
  </si>
  <si>
    <t>MONTANTE "B"</t>
  </si>
  <si>
    <t>CITL
Calculado sobre o somatório dos Montantes 
"A" e "B"</t>
  </si>
  <si>
    <t>Total unitário mensal do posto de trabalho</t>
  </si>
  <si>
    <t>13º Salário</t>
  </si>
  <si>
    <t>Férias</t>
  </si>
  <si>
    <t>Abono de férias</t>
  </si>
  <si>
    <t>Incidência do Módulo A sobre 13º Salário e Férias</t>
  </si>
  <si>
    <t>Total unitário Montante 
"A"</t>
  </si>
  <si>
    <t xml:space="preserve">Auxílio-Alimentação
</t>
  </si>
  <si>
    <t>Auxílio-transporte - parte da empresa</t>
  </si>
  <si>
    <t>Total unitário Montante 
"B"</t>
  </si>
  <si>
    <t>CUSTOS INDIRETOS, TRIBUTOS E LUCRO - CITL</t>
  </si>
  <si>
    <t>Cumulativa</t>
  </si>
  <si>
    <t>Não Cumulativa</t>
  </si>
  <si>
    <t>Módulo "A"</t>
  </si>
  <si>
    <t>CUSTOS INDIRETOS*</t>
  </si>
  <si>
    <t>LUCRO*</t>
  </si>
  <si>
    <r>
      <t xml:space="preserve">SENAI / SENAC -  </t>
    </r>
    <r>
      <rPr>
        <sz val="9"/>
        <color rgb="FFFF0000"/>
        <rFont val="Arial"/>
        <family val="2"/>
      </rPr>
      <t>NÃO PODERÁ SER ALTERADO</t>
    </r>
  </si>
  <si>
    <t>TRIBUTOS - SOMATÓRIO:</t>
  </si>
  <si>
    <r>
      <t xml:space="preserve">INCRA  -  </t>
    </r>
    <r>
      <rPr>
        <sz val="9"/>
        <color rgb="FFFF0000"/>
        <rFont val="Arial"/>
        <family val="2"/>
      </rPr>
      <t>NÃO PODERÁ SER ALTERADO</t>
    </r>
  </si>
  <si>
    <r>
      <t xml:space="preserve">SALÁRIO EDUCAÇÃO  -  </t>
    </r>
    <r>
      <rPr>
        <sz val="9"/>
        <color rgb="FFFF0000"/>
        <rFont val="Arial"/>
        <family val="2"/>
      </rPr>
      <t>NÃO PODERÁ SER ALTERADO</t>
    </r>
  </si>
  <si>
    <r>
      <t xml:space="preserve">F G T S  -  </t>
    </r>
    <r>
      <rPr>
        <sz val="9"/>
        <color rgb="FFFF0000"/>
        <rFont val="Arial"/>
        <family val="2"/>
      </rPr>
      <t>NÃO PODERÁ SER ALTERADO</t>
    </r>
  </si>
  <si>
    <t>CPRB**</t>
  </si>
  <si>
    <r>
      <t xml:space="preserve">SEBRAE - </t>
    </r>
    <r>
      <rPr>
        <sz val="9"/>
        <color rgb="FFFF0000"/>
        <rFont val="Arial"/>
        <family val="2"/>
      </rPr>
      <t>NÃO PODERÁ SER ALTERADO</t>
    </r>
  </si>
  <si>
    <t>TOTAL DO CITL</t>
  </si>
  <si>
    <t>Total do Módulo "A"</t>
  </si>
  <si>
    <t>Fórmula do citl</t>
  </si>
  <si>
    <t>Módulo B</t>
  </si>
  <si>
    <t>A = Custos indiretos;</t>
  </si>
  <si>
    <t>B = Lucro; e</t>
  </si>
  <si>
    <t>C = Tributos - somatório</t>
  </si>
  <si>
    <t>*Incluem custo com salário, encargos e auxílios do preposto</t>
  </si>
  <si>
    <t>**Contribuição Previdenciária sobre a Receita Bruta - lei 12.546/2011</t>
  </si>
  <si>
    <t>Total do Módulo "B"</t>
  </si>
  <si>
    <t>Módulo C</t>
  </si>
  <si>
    <t>Total do Módulo "C"</t>
  </si>
  <si>
    <t>Módulo D</t>
  </si>
  <si>
    <t>Total do Módulo "D"</t>
  </si>
  <si>
    <t>TOTAL DOS ENCARGOS SOCIAIS</t>
  </si>
  <si>
    <t>(*) Risco Acidente de Trabalho / Fator Acidentário de Prevenção</t>
  </si>
  <si>
    <t>(**) Variação das alíquotas de 0,5% a 6% de RAT, devido a incidência do FAP</t>
  </si>
  <si>
    <t>Nº de Segundas a Quintas</t>
  </si>
  <si>
    <t>Nº de Sextas</t>
  </si>
  <si>
    <t>30 horas semanais</t>
  </si>
  <si>
    <t>40 horas Semanais</t>
  </si>
  <si>
    <t xml:space="preserve"> </t>
  </si>
  <si>
    <t>PLANILHA DE COMPOSIÇÃO DOS PERCENTUAIS</t>
  </si>
  <si>
    <r>
      <rPr>
        <sz val="9"/>
        <color indexed="8"/>
        <rFont val="Arial"/>
        <family val="2"/>
      </rPr>
      <t xml:space="preserve">PREVIDÊNCIA SOCIAL - </t>
    </r>
    <r>
      <rPr>
        <sz val="9"/>
        <color indexed="12"/>
        <rFont val="Arial"/>
        <family val="2"/>
      </rPr>
      <t>PODERÁ SER ALTERADO</t>
    </r>
  </si>
  <si>
    <t>1º Ano</t>
  </si>
  <si>
    <t>A partir do 2º ano</t>
  </si>
  <si>
    <t>CONTA-DEPÓSITO VINCULADA - BLOQUEADA PARA MOVIMENTAÇÃO</t>
  </si>
  <si>
    <r>
      <rPr>
        <sz val="9"/>
        <color indexed="8"/>
        <rFont val="Arial"/>
        <family val="2"/>
      </rPr>
      <t xml:space="preserve">AVISO PRÉVIO INDENIZADO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</si>
  <si>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AVISO PRÉVIO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</si>
  <si>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INDENIZAÇÃO ADICIONAL - </t>
    </r>
    <r>
      <rPr>
        <sz val="9"/>
        <color indexed="12"/>
        <rFont val="Arial"/>
        <family val="2"/>
      </rPr>
      <t>PODERÁ SER ALTERADO</t>
    </r>
  </si>
  <si>
    <t>13º salário</t>
  </si>
  <si>
    <r>
      <rPr>
        <sz val="9"/>
        <color indexed="8"/>
        <rFont val="Arial"/>
        <family val="2"/>
      </rPr>
      <t xml:space="preserve">FGTS RECISÕES SEM JUSTA CAUSA - </t>
    </r>
    <r>
      <rPr>
        <sz val="9"/>
        <color indexed="12"/>
        <rFont val="Arial"/>
        <family val="2"/>
      </rPr>
      <t>PODERÁ SER ALTERADO</t>
    </r>
  </si>
  <si>
    <t>Subtotal</t>
  </si>
  <si>
    <t>Incidência Módulo "A"</t>
  </si>
  <si>
    <t>Abono férias</t>
  </si>
  <si>
    <t>FGTS Recisões sem Justa Causa</t>
  </si>
  <si>
    <t>A CONTINGENCIAR</t>
  </si>
  <si>
    <t>(***) Em caso de ausência de cobertura de férias, deverá ser alterado o divisor para 11 meses, à partir do segundo ano do contrato</t>
  </si>
  <si>
    <r>
      <t>SESI / SESC</t>
    </r>
    <r>
      <rPr>
        <sz val="9"/>
        <color indexed="12"/>
        <rFont val="Arial"/>
        <family val="2"/>
      </rPr>
      <t xml:space="preserve"> -  </t>
    </r>
    <r>
      <rPr>
        <sz val="9"/>
        <color rgb="FFFF0000"/>
        <rFont val="Arial"/>
        <family val="2"/>
      </rPr>
      <t>NÃO PODERÁ SER ALTERADO</t>
    </r>
  </si>
  <si>
    <r>
      <t xml:space="preserve">13º SALÁRIO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</si>
  <si>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r>
      <t xml:space="preserve">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</si>
  <si>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r>
      <t xml:space="preserve">ABONO DE 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</si>
  <si>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>CITL
Calculado sobre o Somatório dos Montantes 
"A" e "B"</t>
  </si>
  <si>
    <t>Feriados forenses no período</t>
  </si>
  <si>
    <t>Quantidade de dias da Semana</t>
  </si>
  <si>
    <t>Quantidade de horas úteis no período</t>
  </si>
  <si>
    <t>Total mensal estimado da contratação</t>
  </si>
  <si>
    <t>Total anual estimado da contratação</t>
  </si>
  <si>
    <t>Total unitário anual do posto de trabalho       (12 meses)</t>
  </si>
  <si>
    <r>
      <t xml:space="preserve">Convenções Coletivas de Trabalho                          </t>
    </r>
    <r>
      <rPr>
        <b/>
        <sz val="12"/>
        <color rgb="FFFF0000"/>
        <rFont val="Arial"/>
        <family val="2"/>
      </rPr>
      <t xml:space="preserve">(pode ser alterado)                </t>
    </r>
    <r>
      <rPr>
        <b/>
        <sz val="12"/>
        <rFont val="Arial"/>
        <family val="2"/>
      </rPr>
      <t>vigência                Data-base</t>
    </r>
  </si>
  <si>
    <t>CÁLCULO DO VALOR DA HORA - 1º ANO</t>
  </si>
  <si>
    <t>Divisor</t>
  </si>
  <si>
    <t>Valor da Hora</t>
  </si>
  <si>
    <t xml:space="preserve">Operador de Telefonia </t>
  </si>
  <si>
    <t>8h às 17h</t>
  </si>
  <si>
    <t>10h às 19h</t>
  </si>
  <si>
    <t>11h às 20h</t>
  </si>
  <si>
    <t>8h às 14h</t>
  </si>
  <si>
    <t>14h às 20h</t>
  </si>
  <si>
    <t>Valor da hora do cobertura</t>
  </si>
  <si>
    <t>SEAC-DF x SINTTEL-DF    01/01 até 31/12/2022     01/janeiro</t>
  </si>
  <si>
    <t>12 meses          (12 * salário)</t>
  </si>
  <si>
    <t>Resultado          (12 meses / dias úteis)</t>
  </si>
  <si>
    <t>PLANILHA ESTIMATIVA DE CUSTOS - DE 01 DE MAIO DE 2022 A 30 DE ABRIL DE 2023</t>
  </si>
  <si>
    <t>PLANILHA DE HORAS NO PERÍODO DE 01/05/2022 A 30/04/2023</t>
  </si>
  <si>
    <r>
      <t xml:space="preserve">ACIDENTE DO TRABALHO - </t>
    </r>
    <r>
      <rPr>
        <sz val="9"/>
        <color indexed="12"/>
        <rFont val="Arial"/>
        <family val="2"/>
      </rPr>
      <t>PODERÁ SER ALTERADO</t>
    </r>
  </si>
  <si>
    <r>
      <t xml:space="preserve">FALTAS LEGAIS - </t>
    </r>
    <r>
      <rPr>
        <sz val="9"/>
        <color indexed="12"/>
        <rFont val="Arial"/>
        <family val="2"/>
      </rPr>
      <t>PODERÁ SER ALTERADO</t>
    </r>
  </si>
  <si>
    <r>
      <t xml:space="preserve">LICENÇA PATERNIDADE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/>
    </r>
  </si>
  <si>
    <t>AUXÍLIO DOENÇA - PODERÁ SER ALTERADO</t>
  </si>
  <si>
    <r>
      <t xml:space="preserve">RAT / FAP (*)
</t>
    </r>
    <r>
      <rPr>
        <b/>
        <sz val="10"/>
        <color indexed="12"/>
        <rFont val="Arial"/>
        <family val="2"/>
      </rPr>
      <t>PODERÁ SER ALTERADO</t>
    </r>
  </si>
  <si>
    <r>
      <t>AUXÍLIO-CRECHE - SEAC-DF x SINTTEL-DF 2022/2022 - Previsão para 1 (uma) criança - Ressarcimento</t>
    </r>
    <r>
      <rPr>
        <sz val="11"/>
        <color rgb="FFFF0000"/>
        <rFont val="Arial"/>
        <family val="2"/>
      </rPr>
      <t xml:space="preserve"> (Só poderá ser alterado pelo licitante, em caso de adoção de outra CCT)</t>
    </r>
  </si>
  <si>
    <r>
      <t xml:space="preserve">AUXÍLIO-FUNERAL E SEGURO DE VIDA - SEAC-DF x SINTTEL-DF 2022/2022 - Ressarcimento por contratação de apólice </t>
    </r>
    <r>
      <rPr>
        <sz val="11"/>
        <color rgb="FFFF0000"/>
        <rFont val="Arial"/>
        <family val="2"/>
      </rPr>
      <t>(Só poderá ser alterado pelo licitante, em caso de adoção de outra CCT)</t>
    </r>
  </si>
  <si>
    <r>
      <t xml:space="preserve">AUXÍLIO-ODONTOLÓGICO - SEAC-DF x SINTTEL-DF 2022/2022 - Ressarcimento </t>
    </r>
    <r>
      <rPr>
        <sz val="11"/>
        <color rgb="FFFF0000"/>
        <rFont val="Arial"/>
        <family val="2"/>
      </rPr>
      <t>(Só poderá ser alterado pelo licitante, em caso de adoção de outra CCT)</t>
    </r>
  </si>
  <si>
    <r>
      <t xml:space="preserve">PLANO AMBULATORIAL - SEAC-DF x SINTTEL-DF 2022/2022 - Ressarcimento </t>
    </r>
    <r>
      <rPr>
        <sz val="11"/>
        <color rgb="FFFF0000"/>
        <rFont val="Arial"/>
        <family val="2"/>
      </rPr>
      <t>(Só poderá ser alterado pelo licitante, em caso de adoção de outra CCT)</t>
    </r>
  </si>
  <si>
    <r>
      <t xml:space="preserve">PLANO AMBULATORIAL - SEAC-DF x SINTEC-DF 2021/2022 - Ressarcimento </t>
    </r>
    <r>
      <rPr>
        <sz val="11"/>
        <color rgb="FFFF0000"/>
        <rFont val="Arial"/>
        <family val="2"/>
      </rPr>
      <t>(Só poderá ser alterado pelo licitante, em caso de adoção de outra CCT)</t>
    </r>
  </si>
  <si>
    <r>
      <t xml:space="preserve">AUXÍLIO-ODONTOLÓGICO - SEAC-DF x SINTEC-DF 2021/2022 - Ressarcimento </t>
    </r>
    <r>
      <rPr>
        <sz val="11"/>
        <color rgb="FFFF0000"/>
        <rFont val="Arial"/>
        <family val="2"/>
      </rPr>
      <t>(Só poderá ser alterado pelo licitante, em caso de adoção de outra CCT)</t>
    </r>
  </si>
  <si>
    <r>
      <t xml:space="preserve">AUXÍLIO-FUNERAL E SEGURO DE VIDA - SEAC-DF x SINTEC-DF 2021/2022 - Ressarcimento por contratação de apólice </t>
    </r>
    <r>
      <rPr>
        <sz val="11"/>
        <color rgb="FFFF0000"/>
        <rFont val="Arial"/>
        <family val="2"/>
      </rPr>
      <t>(Só poderá ser alterado pelo licitante, em caso de adoção de outra CCT)</t>
    </r>
  </si>
  <si>
    <t>SEAC-DF x SINTEC-DF   01/05/2021 até 30/04/2022                01/maio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</si>
</sst>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0.000"/>
    <numFmt numFmtId="166" formatCode="_(* #,##0.00_);_(* \(#,##0.00\);_(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9"/>
      <color rgb="FFFF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9"/>
      <color indexed="12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name val="Arial"/>
      <family val="2"/>
    </font>
    <font>
      <b/>
      <sz val="10"/>
      <color indexed="12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b/>
      <sz val="11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7" fillId="0" borderId="0" applyNumberFormat="0" applyFill="0" applyBorder="0" applyProtection="0"/>
  </cellStyleXfs>
  <cellXfs count="343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44" fontId="8" fillId="2" borderId="6" xfId="0" applyNumberFormat="1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0" xfId="0" applyFont="1" applyFill="1"/>
    <xf numFmtId="164" fontId="8" fillId="0" borderId="6" xfId="0" applyNumberFormat="1" applyFont="1" applyFill="1" applyBorder="1" applyAlignment="1">
      <alignment vertical="center"/>
    </xf>
    <xf numFmtId="44" fontId="5" fillId="2" borderId="7" xfId="0" applyNumberFormat="1" applyFont="1" applyFill="1" applyBorder="1" applyAlignment="1">
      <alignment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44" fontId="3" fillId="2" borderId="9" xfId="0" applyNumberFormat="1" applyFont="1" applyFill="1" applyBorder="1" applyAlignment="1">
      <alignment horizontal="center" vertical="center"/>
    </xf>
    <xf numFmtId="44" fontId="3" fillId="2" borderId="16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9" fillId="2" borderId="11" xfId="0" applyFont="1" applyFill="1" applyBorder="1" applyAlignment="1">
      <alignment horizontal="center" vertical="center"/>
    </xf>
    <xf numFmtId="164" fontId="9" fillId="2" borderId="11" xfId="0" applyNumberFormat="1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4" fontId="3" fillId="2" borderId="3" xfId="0" applyNumberFormat="1" applyFont="1" applyFill="1" applyBorder="1" applyAlignment="1">
      <alignment horizontal="center" vertical="center"/>
    </xf>
    <xf numFmtId="44" fontId="3" fillId="2" borderId="4" xfId="0" applyNumberFormat="1" applyFont="1" applyFill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44" fontId="3" fillId="0" borderId="3" xfId="0" applyNumberFormat="1" applyFont="1" applyFill="1" applyBorder="1" applyAlignment="1">
      <alignment horizontal="center" vertical="center"/>
    </xf>
    <xf numFmtId="44" fontId="3" fillId="0" borderId="4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44" fontId="9" fillId="2" borderId="0" xfId="0" applyNumberFormat="1" applyFont="1" applyFill="1"/>
    <xf numFmtId="4" fontId="11" fillId="2" borderId="0" xfId="0" applyNumberFormat="1" applyFont="1" applyFill="1"/>
    <xf numFmtId="0" fontId="3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2" fillId="2" borderId="0" xfId="0" applyFont="1" applyFill="1" applyAlignment="1">
      <alignment horizontal="left" vertical="center" indent="5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wrapText="1"/>
    </xf>
    <xf numFmtId="0" fontId="1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9" fontId="14" fillId="2" borderId="28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4" fillId="2" borderId="0" xfId="0" applyFont="1" applyFill="1" applyBorder="1" applyAlignment="1">
      <alignment vertical="center" wrapText="1"/>
    </xf>
    <xf numFmtId="0" fontId="7" fillId="2" borderId="3" xfId="2" applyFont="1" applyFill="1" applyBorder="1" applyAlignment="1">
      <alignment horizontal="center" vertical="center" wrapText="1"/>
    </xf>
    <xf numFmtId="9" fontId="7" fillId="2" borderId="6" xfId="2" applyNumberFormat="1" applyFont="1" applyFill="1" applyBorder="1" applyAlignment="1">
      <alignment horizontal="center" vertical="center" wrapText="1"/>
    </xf>
    <xf numFmtId="9" fontId="7" fillId="2" borderId="9" xfId="2" applyNumberFormat="1" applyFont="1" applyFill="1" applyBorder="1" applyAlignment="1">
      <alignment horizontal="center" vertical="center" wrapText="1"/>
    </xf>
    <xf numFmtId="44" fontId="13" fillId="2" borderId="6" xfId="0" applyNumberFormat="1" applyFont="1" applyFill="1" applyBorder="1" applyAlignment="1">
      <alignment vertical="center"/>
    </xf>
    <xf numFmtId="0" fontId="13" fillId="2" borderId="11" xfId="0" applyFont="1" applyFill="1" applyBorder="1" applyAlignment="1">
      <alignment horizontal="center" vertical="center"/>
    </xf>
    <xf numFmtId="44" fontId="13" fillId="2" borderId="11" xfId="0" applyNumberFormat="1" applyFont="1" applyFill="1" applyBorder="1" applyAlignment="1">
      <alignment vertical="center"/>
    </xf>
    <xf numFmtId="0" fontId="15" fillId="0" borderId="0" xfId="6" applyFont="1" applyFill="1" applyBorder="1"/>
    <xf numFmtId="0" fontId="15" fillId="0" borderId="33" xfId="6" applyFont="1" applyFill="1" applyBorder="1"/>
    <xf numFmtId="0" fontId="7" fillId="0" borderId="0" xfId="6" applyNumberFormat="1" applyFont="1" applyBorder="1" applyAlignment="1">
      <alignment vertical="center" wrapText="1"/>
    </xf>
    <xf numFmtId="0" fontId="15" fillId="0" borderId="32" xfId="6" applyFont="1" applyFill="1" applyBorder="1"/>
    <xf numFmtId="0" fontId="15" fillId="2" borderId="33" xfId="2" applyFont="1" applyFill="1" applyBorder="1" applyAlignment="1">
      <alignment horizontal="center" vertical="center" wrapText="1"/>
    </xf>
    <xf numFmtId="164" fontId="15" fillId="0" borderId="0" xfId="6" applyNumberFormat="1" applyFont="1" applyFill="1" applyBorder="1"/>
    <xf numFmtId="44" fontId="13" fillId="0" borderId="11" xfId="0" applyNumberFormat="1" applyFont="1" applyFill="1" applyBorder="1" applyAlignment="1">
      <alignment vertical="center"/>
    </xf>
    <xf numFmtId="44" fontId="13" fillId="2" borderId="11" xfId="0" applyNumberFormat="1" applyFont="1" applyFill="1" applyBorder="1" applyAlignment="1">
      <alignment horizontal="left" vertical="center" wrapText="1"/>
    </xf>
    <xf numFmtId="44" fontId="13" fillId="2" borderId="6" xfId="0" applyNumberFormat="1" applyFont="1" applyFill="1" applyBorder="1" applyAlignment="1">
      <alignment horizontal="left" vertical="center" wrapText="1"/>
    </xf>
    <xf numFmtId="164" fontId="9" fillId="0" borderId="11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19" xfId="0" applyNumberFormat="1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0" fontId="17" fillId="5" borderId="34" xfId="8" applyFont="1" applyFill="1" applyBorder="1" applyAlignment="1"/>
    <xf numFmtId="0" fontId="17" fillId="5" borderId="35" xfId="8" applyFont="1" applyFill="1" applyBorder="1" applyAlignment="1"/>
    <xf numFmtId="0" fontId="17" fillId="5" borderId="36" xfId="8" applyFont="1" applyFill="1" applyBorder="1" applyAlignment="1"/>
    <xf numFmtId="0" fontId="17" fillId="0" borderId="0" xfId="8" applyNumberFormat="1" applyFont="1" applyAlignment="1"/>
    <xf numFmtId="0" fontId="17" fillId="5" borderId="37" xfId="8" applyFont="1" applyFill="1" applyBorder="1" applyAlignment="1"/>
    <xf numFmtId="0" fontId="19" fillId="5" borderId="0" xfId="8" applyFont="1" applyFill="1" applyBorder="1" applyAlignment="1"/>
    <xf numFmtId="0" fontId="20" fillId="5" borderId="0" xfId="8" applyFont="1" applyFill="1" applyBorder="1" applyAlignment="1"/>
    <xf numFmtId="0" fontId="17" fillId="5" borderId="0" xfId="8" applyFont="1" applyFill="1" applyBorder="1" applyAlignment="1"/>
    <xf numFmtId="0" fontId="17" fillId="5" borderId="38" xfId="8" applyFont="1" applyFill="1" applyBorder="1" applyAlignment="1"/>
    <xf numFmtId="0" fontId="17" fillId="5" borderId="40" xfId="8" applyFont="1" applyFill="1" applyBorder="1" applyAlignment="1"/>
    <xf numFmtId="0" fontId="19" fillId="5" borderId="42" xfId="8" applyFont="1" applyFill="1" applyBorder="1" applyAlignment="1"/>
    <xf numFmtId="0" fontId="17" fillId="5" borderId="47" xfId="8" applyFont="1" applyFill="1" applyBorder="1" applyAlignment="1"/>
    <xf numFmtId="49" fontId="21" fillId="5" borderId="41" xfId="8" applyNumberFormat="1" applyFont="1" applyFill="1" applyBorder="1" applyAlignment="1">
      <alignment horizontal="center"/>
    </xf>
    <xf numFmtId="0" fontId="19" fillId="5" borderId="41" xfId="8" applyNumberFormat="1" applyFont="1" applyFill="1" applyBorder="1" applyAlignment="1">
      <alignment horizontal="center"/>
    </xf>
    <xf numFmtId="49" fontId="19" fillId="5" borderId="41" xfId="8" applyNumberFormat="1" applyFont="1" applyFill="1" applyBorder="1" applyAlignment="1">
      <alignment horizontal="justify"/>
    </xf>
    <xf numFmtId="10" fontId="21" fillId="5" borderId="41" xfId="8" applyNumberFormat="1" applyFont="1" applyFill="1" applyBorder="1" applyAlignment="1">
      <alignment horizontal="center"/>
    </xf>
    <xf numFmtId="49" fontId="21" fillId="5" borderId="43" xfId="8" applyNumberFormat="1" applyFont="1" applyFill="1" applyBorder="1" applyAlignment="1"/>
    <xf numFmtId="0" fontId="21" fillId="5" borderId="45" xfId="8" applyFont="1" applyFill="1" applyBorder="1" applyAlignment="1"/>
    <xf numFmtId="0" fontId="17" fillId="5" borderId="56" xfId="8" applyFont="1" applyFill="1" applyBorder="1" applyAlignment="1"/>
    <xf numFmtId="10" fontId="23" fillId="5" borderId="41" xfId="8" applyNumberFormat="1" applyFont="1" applyFill="1" applyBorder="1" applyAlignment="1">
      <alignment horizontal="center"/>
    </xf>
    <xf numFmtId="0" fontId="17" fillId="5" borderId="49" xfId="8" applyFont="1" applyFill="1" applyBorder="1" applyAlignment="1"/>
    <xf numFmtId="0" fontId="17" fillId="5" borderId="50" xfId="8" applyFont="1" applyFill="1" applyBorder="1" applyAlignment="1"/>
    <xf numFmtId="2" fontId="19" fillId="5" borderId="42" xfId="8" applyNumberFormat="1" applyFont="1" applyFill="1" applyBorder="1" applyAlignment="1"/>
    <xf numFmtId="0" fontId="21" fillId="5" borderId="44" xfId="8" applyFont="1" applyFill="1" applyBorder="1" applyAlignment="1">
      <alignment horizontal="center"/>
    </xf>
    <xf numFmtId="10" fontId="21" fillId="5" borderId="45" xfId="8" applyNumberFormat="1" applyFont="1" applyFill="1" applyBorder="1" applyAlignment="1"/>
    <xf numFmtId="49" fontId="18" fillId="5" borderId="41" xfId="8" applyNumberFormat="1" applyFont="1" applyFill="1" applyBorder="1" applyAlignment="1">
      <alignment horizontal="center"/>
    </xf>
    <xf numFmtId="0" fontId="18" fillId="5" borderId="41" xfId="8" applyFont="1" applyFill="1" applyBorder="1" applyAlignment="1">
      <alignment horizontal="center"/>
    </xf>
    <xf numFmtId="49" fontId="18" fillId="5" borderId="41" xfId="8" applyNumberFormat="1" applyFont="1" applyFill="1" applyBorder="1" applyAlignment="1">
      <alignment horizontal="center" vertical="center"/>
    </xf>
    <xf numFmtId="49" fontId="18" fillId="5" borderId="41" xfId="8" applyNumberFormat="1" applyFont="1" applyFill="1" applyBorder="1" applyAlignment="1">
      <alignment horizontal="center" vertical="center" wrapText="1"/>
    </xf>
    <xf numFmtId="10" fontId="19" fillId="5" borderId="41" xfId="8" applyNumberFormat="1" applyFont="1" applyFill="1" applyBorder="1" applyAlignment="1"/>
    <xf numFmtId="49" fontId="17" fillId="5" borderId="47" xfId="8" applyNumberFormat="1" applyFont="1" applyFill="1" applyBorder="1" applyAlignment="1">
      <alignment vertical="center"/>
    </xf>
    <xf numFmtId="0" fontId="21" fillId="5" borderId="0" xfId="8" applyFont="1" applyFill="1" applyBorder="1" applyAlignment="1">
      <alignment horizontal="right"/>
    </xf>
    <xf numFmtId="49" fontId="17" fillId="5" borderId="47" xfId="8" applyNumberFormat="1" applyFont="1" applyFill="1" applyBorder="1" applyAlignment="1"/>
    <xf numFmtId="49" fontId="22" fillId="5" borderId="41" xfId="8" applyNumberFormat="1" applyFont="1" applyFill="1" applyBorder="1" applyAlignment="1">
      <alignment horizontal="justify"/>
    </xf>
    <xf numFmtId="49" fontId="17" fillId="5" borderId="57" xfId="8" applyNumberFormat="1" applyFont="1" applyFill="1" applyBorder="1" applyAlignment="1"/>
    <xf numFmtId="0" fontId="17" fillId="5" borderId="58" xfId="8" applyFont="1" applyFill="1" applyBorder="1" applyAlignment="1">
      <alignment vertical="center" wrapText="1"/>
    </xf>
    <xf numFmtId="0" fontId="17" fillId="5" borderId="59" xfId="8" applyFont="1" applyFill="1" applyBorder="1" applyAlignment="1">
      <alignment vertical="center" wrapText="1"/>
    </xf>
    <xf numFmtId="49" fontId="19" fillId="5" borderId="41" xfId="8" applyNumberFormat="1" applyFont="1" applyFill="1" applyBorder="1" applyAlignment="1"/>
    <xf numFmtId="49" fontId="17" fillId="5" borderId="60" xfId="8" applyNumberFormat="1" applyFont="1" applyFill="1" applyBorder="1" applyAlignment="1"/>
    <xf numFmtId="0" fontId="17" fillId="5" borderId="61" xfId="8" applyFont="1" applyFill="1" applyBorder="1" applyAlignment="1">
      <alignment vertical="center" wrapText="1"/>
    </xf>
    <xf numFmtId="0" fontId="17" fillId="5" borderId="62" xfId="8" applyFont="1" applyFill="1" applyBorder="1" applyAlignment="1">
      <alignment vertical="center" wrapText="1"/>
    </xf>
    <xf numFmtId="49" fontId="17" fillId="5" borderId="63" xfId="8" applyNumberFormat="1" applyFont="1" applyFill="1" applyBorder="1" applyAlignment="1"/>
    <xf numFmtId="0" fontId="19" fillId="5" borderId="64" xfId="8" applyFont="1" applyFill="1" applyBorder="1" applyAlignment="1"/>
    <xf numFmtId="0" fontId="17" fillId="5" borderId="64" xfId="8" applyFont="1" applyFill="1" applyBorder="1" applyAlignment="1"/>
    <xf numFmtId="0" fontId="17" fillId="5" borderId="65" xfId="8" applyFont="1" applyFill="1" applyBorder="1" applyAlignment="1"/>
    <xf numFmtId="0" fontId="19" fillId="5" borderId="47" xfId="8" applyFont="1" applyFill="1" applyBorder="1" applyAlignment="1"/>
    <xf numFmtId="0" fontId="19" fillId="5" borderId="44" xfId="8" applyFont="1" applyFill="1" applyBorder="1" applyAlignment="1"/>
    <xf numFmtId="0" fontId="17" fillId="5" borderId="44" xfId="8" applyFont="1" applyFill="1" applyBorder="1" applyAlignment="1"/>
    <xf numFmtId="10" fontId="18" fillId="5" borderId="48" xfId="8" applyNumberFormat="1" applyFont="1" applyFill="1" applyBorder="1" applyAlignment="1"/>
    <xf numFmtId="2" fontId="19" fillId="5" borderId="47" xfId="8" applyNumberFormat="1" applyFont="1" applyFill="1" applyBorder="1" applyAlignment="1"/>
    <xf numFmtId="49" fontId="17" fillId="5" borderId="53" xfId="8" applyNumberFormat="1" applyFont="1" applyFill="1" applyBorder="1" applyAlignment="1">
      <alignment vertical="center"/>
    </xf>
    <xf numFmtId="0" fontId="17" fillId="5" borderId="54" xfId="8" applyFont="1" applyFill="1" applyBorder="1" applyAlignment="1">
      <alignment vertical="center"/>
    </xf>
    <xf numFmtId="0" fontId="17" fillId="5" borderId="55" xfId="8" applyFont="1" applyFill="1" applyBorder="1" applyAlignment="1">
      <alignment vertical="center"/>
    </xf>
    <xf numFmtId="10" fontId="17" fillId="5" borderId="41" xfId="8" applyNumberFormat="1" applyFont="1" applyFill="1" applyBorder="1" applyAlignment="1">
      <alignment horizontal="center" vertical="center"/>
    </xf>
    <xf numFmtId="10" fontId="19" fillId="5" borderId="41" xfId="8" applyNumberFormat="1" applyFont="1" applyFill="1" applyBorder="1" applyAlignment="1">
      <alignment horizontal="right"/>
    </xf>
    <xf numFmtId="10" fontId="18" fillId="5" borderId="48" xfId="8" applyNumberFormat="1" applyFont="1" applyFill="1" applyBorder="1" applyAlignment="1">
      <alignment horizontal="right"/>
    </xf>
    <xf numFmtId="49" fontId="19" fillId="5" borderId="44" xfId="8" applyNumberFormat="1" applyFont="1" applyFill="1" applyBorder="1" applyAlignment="1"/>
    <xf numFmtId="49" fontId="19" fillId="5" borderId="0" xfId="8" applyNumberFormat="1" applyFont="1" applyFill="1" applyBorder="1" applyAlignment="1"/>
    <xf numFmtId="9" fontId="18" fillId="3" borderId="48" xfId="8" applyNumberFormat="1" applyFont="1" applyFill="1" applyBorder="1" applyAlignment="1">
      <alignment horizontal="center" vertical="center" wrapText="1"/>
    </xf>
    <xf numFmtId="165" fontId="18" fillId="3" borderId="48" xfId="8" applyNumberFormat="1" applyFont="1" applyFill="1" applyBorder="1" applyAlignment="1">
      <alignment horizontal="center" vertical="center" wrapText="1"/>
    </xf>
    <xf numFmtId="49" fontId="17" fillId="3" borderId="53" xfId="8" applyNumberFormat="1" applyFont="1" applyFill="1" applyBorder="1" applyAlignment="1">
      <alignment vertical="center"/>
    </xf>
    <xf numFmtId="0" fontId="17" fillId="3" borderId="54" xfId="8" applyFont="1" applyFill="1" applyBorder="1" applyAlignment="1">
      <alignment vertical="center"/>
    </xf>
    <xf numFmtId="0" fontId="17" fillId="3" borderId="55" xfId="8" applyFont="1" applyFill="1" applyBorder="1" applyAlignment="1">
      <alignment vertical="center"/>
    </xf>
    <xf numFmtId="49" fontId="19" fillId="6" borderId="52" xfId="8" applyNumberFormat="1" applyFont="1" applyFill="1" applyBorder="1" applyAlignment="1">
      <alignment horizontal="center" vertical="center"/>
    </xf>
    <xf numFmtId="49" fontId="19" fillId="6" borderId="52" xfId="8" applyNumberFormat="1" applyFont="1" applyFill="1" applyBorder="1" applyAlignment="1">
      <alignment horizontal="center" vertical="center" wrapText="1"/>
    </xf>
    <xf numFmtId="10" fontId="18" fillId="6" borderId="41" xfId="8" applyNumberFormat="1" applyFont="1" applyFill="1" applyBorder="1" applyAlignment="1">
      <alignment horizontal="center" vertical="center" wrapText="1"/>
    </xf>
    <xf numFmtId="49" fontId="24" fillId="6" borderId="53" xfId="8" applyNumberFormat="1" applyFont="1" applyFill="1" applyBorder="1" applyAlignment="1">
      <alignment vertical="center"/>
    </xf>
    <xf numFmtId="0" fontId="24" fillId="6" borderId="54" xfId="8" applyFont="1" applyFill="1" applyBorder="1" applyAlignment="1">
      <alignment vertical="center"/>
    </xf>
    <xf numFmtId="0" fontId="24" fillId="6" borderId="55" xfId="8" applyFont="1" applyFill="1" applyBorder="1" applyAlignment="1">
      <alignment vertical="center"/>
    </xf>
    <xf numFmtId="10" fontId="24" fillId="6" borderId="41" xfId="8" applyNumberFormat="1" applyFont="1" applyFill="1" applyBorder="1" applyAlignment="1">
      <alignment horizontal="center" vertical="center"/>
    </xf>
    <xf numFmtId="49" fontId="25" fillId="5" borderId="41" xfId="8" applyNumberFormat="1" applyFont="1" applyFill="1" applyBorder="1" applyAlignment="1">
      <alignment horizontal="justify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/>
    <xf numFmtId="0" fontId="3" fillId="2" borderId="68" xfId="0" applyFont="1" applyFill="1" applyBorder="1" applyAlignment="1">
      <alignment horizontal="center" vertical="center"/>
    </xf>
    <xf numFmtId="17" fontId="3" fillId="2" borderId="68" xfId="0" applyNumberFormat="1" applyFont="1" applyFill="1" applyBorder="1"/>
    <xf numFmtId="0" fontId="13" fillId="2" borderId="69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17" fontId="3" fillId="2" borderId="70" xfId="0" applyNumberFormat="1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14" fillId="2" borderId="71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5" fillId="2" borderId="78" xfId="0" applyFont="1" applyFill="1" applyBorder="1" applyAlignment="1">
      <alignment vertical="center"/>
    </xf>
    <xf numFmtId="0" fontId="7" fillId="2" borderId="7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0" fontId="14" fillId="4" borderId="6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164" fontId="29" fillId="2" borderId="12" xfId="0" applyNumberFormat="1" applyFont="1" applyFill="1" applyBorder="1" applyAlignment="1">
      <alignment horizontal="center" vertical="center"/>
    </xf>
    <xf numFmtId="164" fontId="29" fillId="2" borderId="11" xfId="0" applyNumberFormat="1" applyFont="1" applyFill="1" applyBorder="1" applyAlignment="1">
      <alignment horizontal="center" vertical="center"/>
    </xf>
    <xf numFmtId="10" fontId="14" fillId="2" borderId="6" xfId="4" applyNumberFormat="1" applyFont="1" applyFill="1" applyBorder="1" applyAlignment="1">
      <alignment horizontal="center" vertical="center"/>
    </xf>
    <xf numFmtId="10" fontId="14" fillId="2" borderId="6" xfId="6" applyNumberFormat="1" applyFont="1" applyFill="1" applyBorder="1" applyAlignment="1">
      <alignment horizontal="center" vertical="center" wrapText="1"/>
    </xf>
    <xf numFmtId="164" fontId="9" fillId="2" borderId="11" xfId="6" applyNumberFormat="1" applyFont="1" applyFill="1" applyBorder="1" applyAlignment="1">
      <alignment horizontal="center" vertical="center" wrapText="1"/>
    </xf>
    <xf numFmtId="164" fontId="9" fillId="0" borderId="12" xfId="6" applyNumberFormat="1" applyFont="1" applyFill="1" applyBorder="1" applyAlignment="1">
      <alignment horizontal="center" vertical="center"/>
    </xf>
    <xf numFmtId="164" fontId="9" fillId="2" borderId="11" xfId="4" applyNumberFormat="1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14" fillId="2" borderId="27" xfId="2" applyFont="1" applyFill="1" applyBorder="1" applyAlignment="1">
      <alignment horizontal="center" vertical="center" wrapText="1"/>
    </xf>
    <xf numFmtId="44" fontId="6" fillId="2" borderId="8" xfId="0" applyNumberFormat="1" applyFont="1" applyFill="1" applyBorder="1" applyAlignment="1">
      <alignment horizontal="center" vertical="center"/>
    </xf>
    <xf numFmtId="44" fontId="6" fillId="0" borderId="12" xfId="0" applyNumberFormat="1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29" fillId="2" borderId="24" xfId="0" applyFont="1" applyFill="1" applyBorder="1" applyAlignment="1">
      <alignment horizontal="left" vertical="center"/>
    </xf>
    <xf numFmtId="0" fontId="29" fillId="2" borderId="25" xfId="0" applyFont="1" applyFill="1" applyBorder="1" applyAlignment="1">
      <alignment horizontal="left" vertical="center"/>
    </xf>
    <xf numFmtId="0" fontId="29" fillId="2" borderId="26" xfId="0" applyFont="1" applyFill="1" applyBorder="1" applyAlignment="1">
      <alignment horizontal="left" vertical="center"/>
    </xf>
    <xf numFmtId="0" fontId="9" fillId="2" borderId="0" xfId="1" applyNumberFormat="1" applyFont="1" applyFill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2" borderId="79" xfId="0" applyNumberFormat="1" applyFont="1" applyFill="1" applyBorder="1" applyAlignment="1">
      <alignment horizontal="center" vertical="center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/>
    </xf>
    <xf numFmtId="0" fontId="33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44" fontId="13" fillId="2" borderId="6" xfId="0" applyNumberFormat="1" applyFont="1" applyFill="1" applyBorder="1" applyAlignment="1">
      <alignment horizontal="center" vertical="center"/>
    </xf>
    <xf numFmtId="44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44" fontId="13" fillId="2" borderId="11" xfId="0" applyNumberFormat="1" applyFont="1" applyFill="1" applyBorder="1" applyAlignment="1">
      <alignment horizontal="center" vertical="center"/>
    </xf>
    <xf numFmtId="44" fontId="6" fillId="0" borderId="8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44" fontId="13" fillId="2" borderId="8" xfId="0" applyNumberFormat="1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44" fontId="13" fillId="0" borderId="6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justify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/>
    </xf>
    <xf numFmtId="0" fontId="31" fillId="0" borderId="76" xfId="0" applyFont="1" applyFill="1" applyBorder="1" applyAlignment="1">
      <alignment horizontal="center" vertical="center" wrapText="1"/>
    </xf>
    <xf numFmtId="0" fontId="5" fillId="2" borderId="75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4" fillId="0" borderId="76" xfId="0" applyFont="1" applyFill="1" applyBorder="1" applyAlignment="1">
      <alignment horizontal="center" vertical="center" wrapText="1"/>
    </xf>
    <xf numFmtId="0" fontId="4" fillId="0" borderId="77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 wrapText="1"/>
    </xf>
    <xf numFmtId="0" fontId="3" fillId="2" borderId="73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0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1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164" fontId="8" fillId="0" borderId="29" xfId="0" applyNumberFormat="1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64" fontId="8" fillId="2" borderId="82" xfId="0" applyNumberFormat="1" applyFont="1" applyFill="1" applyBorder="1" applyAlignment="1">
      <alignment horizontal="center" vertical="center"/>
    </xf>
    <xf numFmtId="164" fontId="8" fillId="2" borderId="83" xfId="0" applyNumberFormat="1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49" fontId="17" fillId="3" borderId="53" xfId="8" applyNumberFormat="1" applyFont="1" applyFill="1" applyBorder="1" applyAlignment="1">
      <alignment horizontal="center" vertical="center"/>
    </xf>
    <xf numFmtId="0" fontId="17" fillId="3" borderId="55" xfId="8" applyFont="1" applyFill="1" applyBorder="1" applyAlignment="1">
      <alignment horizontal="center" vertical="center"/>
    </xf>
    <xf numFmtId="10" fontId="19" fillId="5" borderId="41" xfId="8" applyNumberFormat="1" applyFont="1" applyFill="1" applyBorder="1" applyAlignment="1">
      <alignment horizontal="right"/>
    </xf>
    <xf numFmtId="49" fontId="18" fillId="5" borderId="48" xfId="8" applyNumberFormat="1" applyFont="1" applyFill="1" applyBorder="1" applyAlignment="1">
      <alignment horizontal="left"/>
    </xf>
    <xf numFmtId="0" fontId="18" fillId="5" borderId="48" xfId="8" applyFont="1" applyFill="1" applyBorder="1" applyAlignment="1">
      <alignment horizontal="left"/>
    </xf>
    <xf numFmtId="10" fontId="18" fillId="5" borderId="48" xfId="8" applyNumberFormat="1" applyFont="1" applyFill="1" applyBorder="1" applyAlignment="1">
      <alignment horizontal="center"/>
    </xf>
    <xf numFmtId="49" fontId="17" fillId="5" borderId="43" xfId="8" applyNumberFormat="1" applyFont="1" applyFill="1" applyBorder="1" applyAlignment="1">
      <alignment horizontal="left" vertical="center"/>
    </xf>
    <xf numFmtId="0" fontId="17" fillId="5" borderId="44" xfId="8" applyFont="1" applyFill="1" applyBorder="1" applyAlignment="1">
      <alignment horizontal="left" vertical="center"/>
    </xf>
    <xf numFmtId="0" fontId="17" fillId="5" borderId="45" xfId="8" applyFont="1" applyFill="1" applyBorder="1" applyAlignment="1">
      <alignment horizontal="left" vertical="center"/>
    </xf>
    <xf numFmtId="0" fontId="17" fillId="5" borderId="49" xfId="8" applyFont="1" applyFill="1" applyBorder="1" applyAlignment="1">
      <alignment horizontal="left" vertical="center"/>
    </xf>
    <xf numFmtId="0" fontId="17" fillId="5" borderId="39" xfId="8" applyFont="1" applyFill="1" applyBorder="1" applyAlignment="1">
      <alignment horizontal="left" vertical="center"/>
    </xf>
    <xf numFmtId="0" fontId="17" fillId="5" borderId="50" xfId="8" applyFont="1" applyFill="1" applyBorder="1" applyAlignment="1">
      <alignment horizontal="left" vertical="center"/>
    </xf>
    <xf numFmtId="10" fontId="17" fillId="5" borderId="46" xfId="8" applyNumberFormat="1" applyFont="1" applyFill="1" applyBorder="1" applyAlignment="1">
      <alignment horizontal="center" vertical="center"/>
    </xf>
    <xf numFmtId="0" fontId="17" fillId="5" borderId="51" xfId="8" applyFont="1" applyFill="1" applyBorder="1" applyAlignment="1">
      <alignment horizontal="center" vertical="center"/>
    </xf>
    <xf numFmtId="10" fontId="17" fillId="5" borderId="51" xfId="8" applyNumberFormat="1" applyFont="1" applyFill="1" applyBorder="1" applyAlignment="1">
      <alignment horizontal="center" vertical="center"/>
    </xf>
    <xf numFmtId="49" fontId="18" fillId="5" borderId="52" xfId="8" applyNumberFormat="1" applyFont="1" applyFill="1" applyBorder="1" applyAlignment="1">
      <alignment horizontal="center"/>
    </xf>
    <xf numFmtId="0" fontId="18" fillId="5" borderId="52" xfId="8" applyFont="1" applyFill="1" applyBorder="1" applyAlignment="1">
      <alignment horizontal="center"/>
    </xf>
    <xf numFmtId="10" fontId="19" fillId="5" borderId="53" xfId="8" applyNumberFormat="1" applyFont="1" applyFill="1" applyBorder="1" applyAlignment="1">
      <alignment horizontal="center"/>
    </xf>
    <xf numFmtId="10" fontId="19" fillId="5" borderId="55" xfId="8" applyNumberFormat="1" applyFont="1" applyFill="1" applyBorder="1" applyAlignment="1">
      <alignment horizontal="center"/>
    </xf>
    <xf numFmtId="49" fontId="18" fillId="6" borderId="66" xfId="8" applyNumberFormat="1" applyFont="1" applyFill="1" applyBorder="1" applyAlignment="1">
      <alignment horizontal="center" vertical="center" wrapText="1"/>
    </xf>
    <xf numFmtId="49" fontId="18" fillId="6" borderId="67" xfId="8" applyNumberFormat="1" applyFont="1" applyFill="1" applyBorder="1" applyAlignment="1">
      <alignment horizontal="center" vertical="center" wrapText="1"/>
    </xf>
    <xf numFmtId="49" fontId="18" fillId="6" borderId="49" xfId="8" applyNumberFormat="1" applyFont="1" applyFill="1" applyBorder="1" applyAlignment="1">
      <alignment horizontal="center" vertical="center" wrapText="1"/>
    </xf>
    <xf numFmtId="49" fontId="18" fillId="6" borderId="50" xfId="8" applyNumberFormat="1" applyFont="1" applyFill="1" applyBorder="1" applyAlignment="1">
      <alignment horizontal="center" vertical="center" wrapText="1"/>
    </xf>
    <xf numFmtId="49" fontId="18" fillId="6" borderId="53" xfId="8" applyNumberFormat="1" applyFont="1" applyFill="1" applyBorder="1" applyAlignment="1">
      <alignment horizontal="center" vertical="center" wrapText="1"/>
    </xf>
    <xf numFmtId="0" fontId="18" fillId="6" borderId="54" xfId="8" applyFont="1" applyFill="1" applyBorder="1" applyAlignment="1">
      <alignment horizontal="center" vertical="center" wrapText="1"/>
    </xf>
    <xf numFmtId="0" fontId="18" fillId="6" borderId="55" xfId="8" applyFont="1" applyFill="1" applyBorder="1" applyAlignment="1">
      <alignment horizontal="center" vertical="center" wrapText="1"/>
    </xf>
    <xf numFmtId="49" fontId="21" fillId="5" borderId="43" xfId="8" applyNumberFormat="1" applyFont="1" applyFill="1" applyBorder="1" applyAlignment="1">
      <alignment horizontal="left"/>
    </xf>
    <xf numFmtId="0" fontId="21" fillId="5" borderId="44" xfId="8" applyFont="1" applyFill="1" applyBorder="1" applyAlignment="1">
      <alignment horizontal="left"/>
    </xf>
    <xf numFmtId="49" fontId="18" fillId="5" borderId="39" xfId="8" applyNumberFormat="1" applyFont="1" applyFill="1" applyBorder="1" applyAlignment="1">
      <alignment horizontal="center" vertical="center"/>
    </xf>
    <xf numFmtId="0" fontId="18" fillId="5" borderId="39" xfId="8" applyFont="1" applyFill="1" applyBorder="1" applyAlignment="1">
      <alignment horizontal="center" vertical="center"/>
    </xf>
    <xf numFmtId="49" fontId="18" fillId="3" borderId="53" xfId="8" applyNumberFormat="1" applyFont="1" applyFill="1" applyBorder="1" applyAlignment="1">
      <alignment horizontal="center" vertical="center"/>
    </xf>
    <xf numFmtId="0" fontId="18" fillId="3" borderId="54" xfId="8" applyFont="1" applyFill="1" applyBorder="1" applyAlignment="1">
      <alignment horizontal="center" vertical="center"/>
    </xf>
    <xf numFmtId="0" fontId="18" fillId="3" borderId="55" xfId="8" applyFont="1" applyFill="1" applyBorder="1" applyAlignment="1">
      <alignment horizontal="center" vertical="center"/>
    </xf>
    <xf numFmtId="49" fontId="21" fillId="5" borderId="53" xfId="8" applyNumberFormat="1" applyFont="1" applyFill="1" applyBorder="1" applyAlignment="1">
      <alignment horizontal="left"/>
    </xf>
    <xf numFmtId="0" fontId="21" fillId="5" borderId="55" xfId="8" applyFont="1" applyFill="1" applyBorder="1" applyAlignment="1">
      <alignment horizontal="left"/>
    </xf>
    <xf numFmtId="49" fontId="35" fillId="5" borderId="0" xfId="8" applyNumberFormat="1" applyFont="1" applyFill="1" applyBorder="1" applyAlignment="1">
      <alignment horizontal="center" wrapText="1"/>
    </xf>
    <xf numFmtId="0" fontId="35" fillId="5" borderId="0" xfId="8" applyFont="1" applyFill="1" applyBorder="1" applyAlignment="1">
      <alignment horizontal="center" wrapText="1"/>
    </xf>
    <xf numFmtId="49" fontId="18" fillId="5" borderId="39" xfId="8" applyNumberFormat="1" applyFont="1" applyFill="1" applyBorder="1" applyAlignment="1">
      <alignment horizontal="center" wrapText="1"/>
    </xf>
    <xf numFmtId="0" fontId="18" fillId="5" borderId="39" xfId="8" applyFont="1" applyFill="1" applyBorder="1" applyAlignment="1">
      <alignment horizontal="center" wrapText="1"/>
    </xf>
    <xf numFmtId="49" fontId="26" fillId="5" borderId="39" xfId="8" applyNumberFormat="1" applyFont="1" applyFill="1" applyBorder="1" applyAlignment="1">
      <alignment horizontal="center" wrapText="1"/>
    </xf>
    <xf numFmtId="49" fontId="21" fillId="4" borderId="41" xfId="8" applyNumberFormat="1" applyFont="1" applyFill="1" applyBorder="1" applyAlignment="1">
      <alignment horizontal="center" vertical="center" wrapText="1"/>
    </xf>
    <xf numFmtId="0" fontId="21" fillId="4" borderId="48" xfId="8" applyFont="1" applyFill="1" applyBorder="1" applyAlignment="1">
      <alignment horizontal="center" vertical="center" wrapText="1"/>
    </xf>
    <xf numFmtId="49" fontId="21" fillId="3" borderId="41" xfId="8" applyNumberFormat="1" applyFont="1" applyFill="1" applyBorder="1" applyAlignment="1">
      <alignment horizontal="center" vertical="center" wrapText="1"/>
    </xf>
    <xf numFmtId="0" fontId="21" fillId="3" borderId="48" xfId="8" applyFont="1" applyFill="1" applyBorder="1" applyAlignment="1">
      <alignment horizontal="center" vertical="center" wrapText="1"/>
    </xf>
    <xf numFmtId="0" fontId="21" fillId="3" borderId="41" xfId="8" applyFont="1" applyFill="1" applyBorder="1" applyAlignment="1">
      <alignment horizontal="center" vertical="center" wrapText="1"/>
    </xf>
    <xf numFmtId="49" fontId="18" fillId="3" borderId="43" xfId="8" applyNumberFormat="1" applyFont="1" applyFill="1" applyBorder="1" applyAlignment="1">
      <alignment horizontal="center" vertical="center" wrapText="1"/>
    </xf>
    <xf numFmtId="0" fontId="18" fillId="3" borderId="44" xfId="8" applyFont="1" applyFill="1" applyBorder="1" applyAlignment="1">
      <alignment horizontal="center" vertical="center" wrapText="1"/>
    </xf>
    <xf numFmtId="0" fontId="18" fillId="3" borderId="45" xfId="8" applyFont="1" applyFill="1" applyBorder="1" applyAlignment="1">
      <alignment horizontal="center" vertical="center" wrapText="1"/>
    </xf>
    <xf numFmtId="0" fontId="18" fillId="3" borderId="49" xfId="8" applyFont="1" applyFill="1" applyBorder="1" applyAlignment="1">
      <alignment horizontal="center" vertical="center" wrapText="1"/>
    </xf>
    <xf numFmtId="0" fontId="18" fillId="3" borderId="39" xfId="8" applyFont="1" applyFill="1" applyBorder="1" applyAlignment="1">
      <alignment horizontal="center" vertical="center" wrapText="1"/>
    </xf>
    <xf numFmtId="0" fontId="18" fillId="3" borderId="50" xfId="8" applyFont="1" applyFill="1" applyBorder="1" applyAlignment="1">
      <alignment horizontal="center" vertical="center" wrapText="1"/>
    </xf>
    <xf numFmtId="49" fontId="18" fillId="3" borderId="46" xfId="8" applyNumberFormat="1" applyFont="1" applyFill="1" applyBorder="1" applyAlignment="1">
      <alignment horizontal="center" vertical="center" wrapText="1"/>
    </xf>
    <xf numFmtId="0" fontId="18" fillId="3" borderId="51" xfId="8" applyFont="1" applyFill="1" applyBorder="1" applyAlignment="1">
      <alignment horizontal="center" vertical="center" wrapText="1"/>
    </xf>
    <xf numFmtId="49" fontId="21" fillId="5" borderId="53" xfId="8" applyNumberFormat="1" applyFont="1" applyFill="1" applyBorder="1" applyAlignment="1">
      <alignment horizontal="center"/>
    </xf>
    <xf numFmtId="0" fontId="21" fillId="5" borderId="54" xfId="8" applyFont="1" applyFill="1" applyBorder="1" applyAlignment="1">
      <alignment horizontal="center"/>
    </xf>
    <xf numFmtId="0" fontId="21" fillId="5" borderId="55" xfId="8" applyFont="1" applyFill="1" applyBorder="1" applyAlignment="1">
      <alignment horizontal="center"/>
    </xf>
    <xf numFmtId="0" fontId="14" fillId="4" borderId="6" xfId="6" applyFont="1" applyFill="1" applyBorder="1" applyAlignment="1">
      <alignment horizontal="center" vertical="center" wrapText="1"/>
    </xf>
    <xf numFmtId="0" fontId="4" fillId="3" borderId="13" xfId="6" applyFont="1" applyFill="1" applyBorder="1" applyAlignment="1">
      <alignment horizontal="center" vertical="center" wrapText="1"/>
    </xf>
    <xf numFmtId="0" fontId="4" fillId="3" borderId="14" xfId="6" applyFont="1" applyFill="1" applyBorder="1" applyAlignment="1">
      <alignment horizontal="center" vertical="center" wrapText="1"/>
    </xf>
    <xf numFmtId="0" fontId="4" fillId="3" borderId="31" xfId="6" applyFont="1" applyFill="1" applyBorder="1" applyAlignment="1">
      <alignment horizontal="center" vertical="center" wrapText="1"/>
    </xf>
    <xf numFmtId="0" fontId="4" fillId="3" borderId="32" xfId="6" applyFont="1" applyFill="1" applyBorder="1" applyAlignment="1">
      <alignment horizontal="center" vertical="center" wrapText="1"/>
    </xf>
    <xf numFmtId="0" fontId="4" fillId="3" borderId="0" xfId="6" applyFont="1" applyFill="1" applyBorder="1" applyAlignment="1">
      <alignment horizontal="center" vertical="center" wrapText="1"/>
    </xf>
    <xf numFmtId="0" fontId="4" fillId="3" borderId="33" xfId="6" applyFont="1" applyFill="1" applyBorder="1" applyAlignment="1">
      <alignment horizontal="center" vertical="center" wrapText="1"/>
    </xf>
    <xf numFmtId="0" fontId="4" fillId="4" borderId="5" xfId="6" applyFont="1" applyFill="1" applyBorder="1" applyAlignment="1">
      <alignment horizontal="center" vertical="center" wrapText="1"/>
    </xf>
    <xf numFmtId="0" fontId="14" fillId="3" borderId="6" xfId="6" applyFont="1" applyFill="1" applyBorder="1" applyAlignment="1">
      <alignment horizontal="center" vertical="center" wrapText="1"/>
    </xf>
    <xf numFmtId="0" fontId="14" fillId="4" borderId="8" xfId="6" applyFont="1" applyFill="1" applyBorder="1" applyAlignment="1">
      <alignment horizontal="center" vertical="center" wrapText="1"/>
    </xf>
  </cellXfs>
  <cellStyles count="9">
    <cellStyle name="Normal" xfId="0" builtinId="0"/>
    <cellStyle name="Normal 2" xfId="2" xr:uid="{00000000-0005-0000-0000-000001000000}"/>
    <cellStyle name="Normal 2 2" xfId="6" xr:uid="{00000000-0005-0000-0000-000002000000}"/>
    <cellStyle name="Normal 3" xfId="8" xr:uid="{00000000-0005-0000-0000-000003000000}"/>
    <cellStyle name="Porcentagem" xfId="1" builtinId="5"/>
    <cellStyle name="Porcentagem 2 2 2" xfId="4" xr:uid="{00000000-0005-0000-0000-000005000000}"/>
    <cellStyle name="Porcentagem 4" xfId="3" xr:uid="{00000000-0005-0000-0000-000006000000}"/>
    <cellStyle name="Porcentagem 4 3" xfId="7" xr:uid="{00000000-0005-0000-0000-000007000000}"/>
    <cellStyle name="Vírgula 2 2 3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2679700</xdr:colOff>
      <xdr:row>14</xdr:row>
      <xdr:rowOff>142239</xdr:rowOff>
    </xdr:from>
    <xdr:to>
      <xdr:col>8</xdr:col>
      <xdr:colOff>654843</xdr:colOff>
      <xdr:row>20</xdr:row>
      <xdr:rowOff>89849</xdr:rowOff>
    </xdr:to>
    <xdr:pic>
      <xdr:nvPicPr>
        <xdr:cNvPr id="2" name="Imagem 1" descr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23525" y="2818764"/>
          <a:ext cx="1766093" cy="11191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MAP/SECT/PLANILHAS/Planilha%20para%20posto%20de%20trabalho%20-%20model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PLANILHAS\0.Modelo\Planilha%20para%20Posto%20de%20Trabalho%20-%20Mod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 desoneração"/>
      <sheetName val="Desoneração"/>
      <sheetName val="HORAS,VT,VA,CAFÉ"/>
      <sheetName val="Encargos Sociais-BDI SEM Deso"/>
      <sheetName val="Encargos Sociais- BDI COM Deso"/>
      <sheetName val="Uniforme"/>
    </sheetNames>
    <sheetDataSet>
      <sheetData sheetId="0" refreshError="1"/>
      <sheetData sheetId="1"/>
      <sheetData sheetId="2">
        <row r="19">
          <cell r="B1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estimativa de custos"/>
      <sheetName val="HORAS,VT,VA"/>
      <sheetName val="Encargos Sociais e CITL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1C1A3"/>
    <pageSetUpPr fitToPage="1"/>
  </sheetPr>
  <dimension ref="A1:R42"/>
  <sheetViews>
    <sheetView tabSelected="1" showRuler="0" topLeftCell="A10" zoomScale="90" zoomScaleNormal="90" zoomScaleSheetLayoutView="80" zoomScalePageLayoutView="90" workbookViewId="0">
      <selection activeCell="A10" sqref="A10:Q10"/>
    </sheetView>
  </sheetViews>
  <sheetFormatPr defaultColWidth="8.85546875" defaultRowHeight="14.25" x14ac:dyDescent="0.2"/>
  <cols>
    <col min="1" max="1" width="32.7109375" style="1" customWidth="1"/>
    <col min="2" max="2" width="25" style="1" customWidth="1"/>
    <col min="3" max="3" width="11.28515625" style="1" customWidth="1"/>
    <col min="4" max="4" width="13.28515625" style="1" hidden="1" customWidth="1"/>
    <col min="5" max="5" width="11.5703125" style="1" bestFit="1" customWidth="1"/>
    <col min="6" max="6" width="13.28515625" style="1" customWidth="1"/>
    <col min="7" max="7" width="15.7109375" style="1" customWidth="1"/>
    <col min="8" max="8" width="14.7109375" style="1" customWidth="1"/>
    <col min="9" max="9" width="12.42578125" style="1" customWidth="1"/>
    <col min="10" max="10" width="15.85546875" style="1" customWidth="1"/>
    <col min="11" max="11" width="15.42578125" style="1" customWidth="1"/>
    <col min="12" max="12" width="16.140625" style="1" customWidth="1"/>
    <col min="13" max="13" width="14.28515625" style="1" customWidth="1"/>
    <col min="14" max="14" width="14.7109375" style="1" customWidth="1"/>
    <col min="15" max="15" width="14.42578125" style="1" customWidth="1"/>
    <col min="16" max="16" width="18" style="1" customWidth="1"/>
    <col min="17" max="17" width="19.5703125" style="1" customWidth="1"/>
    <col min="18" max="18" width="13.7109375" style="1" customWidth="1"/>
    <col min="19" max="19" width="8.85546875" style="1"/>
    <col min="20" max="20" width="3.42578125" style="1" bestFit="1" customWidth="1"/>
    <col min="21" max="16384" width="8.85546875" style="1"/>
  </cols>
  <sheetData>
    <row r="1" spans="1:18" x14ac:dyDescent="0.2">
      <c r="O1" s="201"/>
      <c r="P1" s="201"/>
      <c r="Q1" s="201"/>
    </row>
    <row r="2" spans="1:18" x14ac:dyDescent="0.2">
      <c r="O2" s="201"/>
      <c r="P2" s="201"/>
      <c r="Q2" s="201"/>
    </row>
    <row r="3" spans="1:18" x14ac:dyDescent="0.2">
      <c r="O3" s="201"/>
      <c r="P3" s="201"/>
      <c r="Q3" s="201"/>
    </row>
    <row r="4" spans="1:18" x14ac:dyDescent="0.2">
      <c r="O4" s="201"/>
      <c r="P4" s="201"/>
      <c r="Q4" s="201"/>
    </row>
    <row r="5" spans="1:18" x14ac:dyDescent="0.2">
      <c r="E5" s="1" t="s">
        <v>109</v>
      </c>
      <c r="O5" s="201"/>
      <c r="P5" s="201"/>
      <c r="Q5" s="201"/>
    </row>
    <row r="6" spans="1:18" x14ac:dyDescent="0.2">
      <c r="F6" s="2"/>
      <c r="O6" s="201"/>
      <c r="P6" s="201"/>
      <c r="Q6" s="201"/>
    </row>
    <row r="7" spans="1:18" x14ac:dyDescent="0.2">
      <c r="G7" s="2"/>
      <c r="O7" s="201"/>
      <c r="P7" s="201"/>
      <c r="Q7" s="201"/>
      <c r="R7" s="143"/>
    </row>
    <row r="8" spans="1:18" ht="21.75" customHeight="1" x14ac:dyDescent="0.2">
      <c r="O8" s="201"/>
      <c r="P8" s="201"/>
      <c r="Q8" s="201"/>
      <c r="R8" s="143"/>
    </row>
    <row r="9" spans="1:18" x14ac:dyDescent="0.2">
      <c r="Q9" s="143"/>
    </row>
    <row r="10" spans="1:18" ht="24.75" customHeight="1" thickBot="1" x14ac:dyDescent="0.25">
      <c r="A10" s="202" t="s">
        <v>151</v>
      </c>
      <c r="B10" s="202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143"/>
    </row>
    <row r="11" spans="1:18" ht="23.45" customHeight="1" thickTop="1" x14ac:dyDescent="0.2">
      <c r="A11" s="204" t="s">
        <v>0</v>
      </c>
      <c r="B11" s="198" t="s">
        <v>137</v>
      </c>
      <c r="C11" s="206" t="s">
        <v>1</v>
      </c>
      <c r="D11" s="146"/>
      <c r="E11" s="208" t="s">
        <v>2</v>
      </c>
      <c r="F11" s="208"/>
      <c r="G11" s="208"/>
      <c r="H11" s="208" t="s">
        <v>3</v>
      </c>
      <c r="I11" s="208"/>
      <c r="J11" s="208"/>
      <c r="K11" s="209" t="s">
        <v>4</v>
      </c>
      <c r="L11" s="209" t="s">
        <v>130</v>
      </c>
      <c r="M11" s="209" t="s">
        <v>66</v>
      </c>
      <c r="N11" s="209" t="s">
        <v>136</v>
      </c>
      <c r="O11" s="209" t="s">
        <v>5</v>
      </c>
      <c r="P11" s="209" t="s">
        <v>134</v>
      </c>
      <c r="Q11" s="210" t="s">
        <v>135</v>
      </c>
    </row>
    <row r="12" spans="1:18" ht="71.45" customHeight="1" x14ac:dyDescent="0.2">
      <c r="A12" s="205"/>
      <c r="B12" s="199"/>
      <c r="C12" s="207"/>
      <c r="D12" s="212" t="s">
        <v>6</v>
      </c>
      <c r="E12" s="194" t="s">
        <v>7</v>
      </c>
      <c r="F12" s="153" t="s">
        <v>8</v>
      </c>
      <c r="G12" s="192" t="s">
        <v>9</v>
      </c>
      <c r="H12" s="192" t="s">
        <v>10</v>
      </c>
      <c r="I12" s="192" t="s">
        <v>11</v>
      </c>
      <c r="J12" s="192" t="s">
        <v>12</v>
      </c>
      <c r="K12" s="192"/>
      <c r="L12" s="192"/>
      <c r="M12" s="192"/>
      <c r="N12" s="192"/>
      <c r="O12" s="192"/>
      <c r="P12" s="192"/>
      <c r="Q12" s="211"/>
    </row>
    <row r="13" spans="1:18" ht="21.6" customHeight="1" x14ac:dyDescent="0.2">
      <c r="A13" s="205"/>
      <c r="B13" s="200"/>
      <c r="C13" s="207"/>
      <c r="D13" s="213"/>
      <c r="E13" s="194"/>
      <c r="F13" s="154">
        <f>'Encargos Sociais'!D36</f>
        <v>0.7170233777777778</v>
      </c>
      <c r="G13" s="192"/>
      <c r="H13" s="192"/>
      <c r="I13" s="192"/>
      <c r="J13" s="192"/>
      <c r="K13" s="192"/>
      <c r="L13" s="154">
        <f>'Encargos Sociais'!K14</f>
        <v>0.31020408163265345</v>
      </c>
      <c r="M13" s="192"/>
      <c r="N13" s="192"/>
      <c r="O13" s="192"/>
      <c r="P13" s="192"/>
      <c r="Q13" s="211"/>
    </row>
    <row r="14" spans="1:18" s="6" customFormat="1" ht="43.15" customHeight="1" x14ac:dyDescent="0.2">
      <c r="A14" s="166" t="s">
        <v>34</v>
      </c>
      <c r="B14" s="145" t="s">
        <v>165</v>
      </c>
      <c r="C14" s="155" t="s">
        <v>13</v>
      </c>
      <c r="D14" s="3">
        <v>0</v>
      </c>
      <c r="E14" s="7">
        <v>2564.61</v>
      </c>
      <c r="F14" s="4">
        <f>ROUNDUP((E14*$F$13),2)</f>
        <v>1838.89</v>
      </c>
      <c r="G14" s="4">
        <f>E14+F14</f>
        <v>4403.5</v>
      </c>
      <c r="H14" s="4">
        <f>'AA AT HORAS'!K49</f>
        <v>714.58333333333337</v>
      </c>
      <c r="I14" s="4">
        <f>'AA AT HORAS'!M40</f>
        <v>70.706733333333332</v>
      </c>
      <c r="J14" s="4">
        <f t="shared" ref="J14:J15" si="0">H14+I14</f>
        <v>785.29006666666669</v>
      </c>
      <c r="K14" s="4">
        <f t="shared" ref="K14:K15" si="1">G14+J14</f>
        <v>5188.7900666666665</v>
      </c>
      <c r="L14" s="4">
        <f t="shared" ref="L14:L15" si="2">K14*$L$13</f>
        <v>1609.583857414968</v>
      </c>
      <c r="M14" s="4">
        <f>ROUNDUP((K14+L14),2)</f>
        <v>6798.38</v>
      </c>
      <c r="N14" s="4">
        <f t="shared" ref="N14:N15" si="3">M14*12</f>
        <v>81580.56</v>
      </c>
      <c r="O14" s="5">
        <v>3</v>
      </c>
      <c r="P14" s="172">
        <f>M14*O14</f>
        <v>20395.14</v>
      </c>
      <c r="Q14" s="171">
        <f t="shared" ref="Q14:Q15" si="4">P14*12</f>
        <v>244741.68</v>
      </c>
    </row>
    <row r="15" spans="1:18" s="6" customFormat="1" ht="43.15" customHeight="1" x14ac:dyDescent="0.2">
      <c r="A15" s="165" t="s">
        <v>141</v>
      </c>
      <c r="B15" s="145" t="s">
        <v>148</v>
      </c>
      <c r="C15" s="155" t="s">
        <v>14</v>
      </c>
      <c r="D15" s="3">
        <v>1112</v>
      </c>
      <c r="E15" s="7">
        <v>2028.65</v>
      </c>
      <c r="F15" s="4">
        <f>ROUNDUP((E15*$F$13),2)</f>
        <v>1454.59</v>
      </c>
      <c r="G15" s="4">
        <f>E15+F15</f>
        <v>3483.24</v>
      </c>
      <c r="H15" s="59">
        <f>'AA AT HORAS'!K50</f>
        <v>775.83333333333337</v>
      </c>
      <c r="I15" s="59">
        <f>'AA AT HORAS'!M42</f>
        <v>102.86433333333332</v>
      </c>
      <c r="J15" s="4">
        <f t="shared" si="0"/>
        <v>878.69766666666669</v>
      </c>
      <c r="K15" s="4">
        <f t="shared" si="1"/>
        <v>4361.9376666666667</v>
      </c>
      <c r="L15" s="4">
        <f t="shared" si="2"/>
        <v>1353.0908680272125</v>
      </c>
      <c r="M15" s="4">
        <f>ROUNDUP((K15+L15),2)</f>
        <v>5715.0300000000007</v>
      </c>
      <c r="N15" s="4">
        <f t="shared" si="3"/>
        <v>68580.360000000015</v>
      </c>
      <c r="O15" s="5">
        <v>4</v>
      </c>
      <c r="P15" s="172">
        <f>M15*O15</f>
        <v>22860.120000000003</v>
      </c>
      <c r="Q15" s="171">
        <f t="shared" si="4"/>
        <v>274321.44000000006</v>
      </c>
    </row>
    <row r="16" spans="1:18" s="10" customFormat="1" ht="30.6" customHeight="1" thickBot="1" x14ac:dyDescent="0.3">
      <c r="A16" s="164" t="s">
        <v>15</v>
      </c>
      <c r="B16" s="144"/>
      <c r="C16" s="193"/>
      <c r="D16" s="193"/>
      <c r="E16" s="193"/>
      <c r="F16" s="193"/>
      <c r="G16" s="8">
        <f>SUM(G14:G15)</f>
        <v>7886.74</v>
      </c>
      <c r="H16" s="193"/>
      <c r="I16" s="193"/>
      <c r="J16" s="8">
        <f>SUM(J14:J15)</f>
        <v>1663.9877333333334</v>
      </c>
      <c r="K16" s="8">
        <f>SUM(K14:K15)</f>
        <v>9550.7277333333332</v>
      </c>
      <c r="L16" s="195"/>
      <c r="M16" s="196"/>
      <c r="N16" s="197"/>
      <c r="O16" s="9">
        <f>SUM(O14:O15)</f>
        <v>7</v>
      </c>
      <c r="P16" s="147">
        <f>SUM(P14:P15)</f>
        <v>43255.26</v>
      </c>
      <c r="Q16" s="148">
        <f>SUM(Q14:Q15)</f>
        <v>519063.12000000005</v>
      </c>
    </row>
    <row r="17" spans="1:17" s="13" customFormat="1" ht="24" customHeight="1" thickTop="1" x14ac:dyDescent="0.25">
      <c r="A17" s="173" t="s">
        <v>158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5"/>
      <c r="N17" s="17" t="s">
        <v>16</v>
      </c>
      <c r="O17" s="17" t="s">
        <v>17</v>
      </c>
      <c r="P17" s="11" t="s">
        <v>18</v>
      </c>
      <c r="Q17" s="12" t="s">
        <v>19</v>
      </c>
    </row>
    <row r="18" spans="1:17" s="13" customFormat="1" ht="24" customHeight="1" thickBot="1" x14ac:dyDescent="0.3">
      <c r="A18" s="176"/>
      <c r="B18" s="177"/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8"/>
      <c r="N18" s="14">
        <v>1</v>
      </c>
      <c r="O18" s="55">
        <v>291.10000000000002</v>
      </c>
      <c r="P18" s="55">
        <f>O18*N18</f>
        <v>291.10000000000002</v>
      </c>
      <c r="Q18" s="56">
        <f>P18*12</f>
        <v>3493.2000000000003</v>
      </c>
    </row>
    <row r="19" spans="1:17" s="13" customFormat="1" ht="24" customHeight="1" thickTop="1" x14ac:dyDescent="0.25">
      <c r="A19" s="173" t="s">
        <v>159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5"/>
      <c r="N19" s="17" t="s">
        <v>16</v>
      </c>
      <c r="O19" s="17" t="s">
        <v>17</v>
      </c>
      <c r="P19" s="18" t="s">
        <v>18</v>
      </c>
      <c r="Q19" s="19" t="s">
        <v>19</v>
      </c>
    </row>
    <row r="20" spans="1:17" s="13" customFormat="1" ht="24" customHeight="1" thickBot="1" x14ac:dyDescent="0.3">
      <c r="A20" s="176"/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8"/>
      <c r="N20" s="14">
        <f>O15</f>
        <v>4</v>
      </c>
      <c r="O20" s="55">
        <v>11.36</v>
      </c>
      <c r="P20" s="57">
        <f>N20*O20</f>
        <v>45.44</v>
      </c>
      <c r="Q20" s="58">
        <f>P20*12</f>
        <v>545.28</v>
      </c>
    </row>
    <row r="21" spans="1:17" s="13" customFormat="1" ht="24" customHeight="1" thickTop="1" x14ac:dyDescent="0.25">
      <c r="A21" s="173" t="s">
        <v>164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5"/>
      <c r="N21" s="17" t="s">
        <v>16</v>
      </c>
      <c r="O21" s="17" t="s">
        <v>17</v>
      </c>
      <c r="P21" s="18" t="s">
        <v>18</v>
      </c>
      <c r="Q21" s="19" t="s">
        <v>19</v>
      </c>
    </row>
    <row r="22" spans="1:17" s="13" customFormat="1" ht="24" customHeight="1" thickBot="1" x14ac:dyDescent="0.3">
      <c r="A22" s="176"/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8"/>
      <c r="N22" s="14">
        <f>O14</f>
        <v>3</v>
      </c>
      <c r="O22" s="15">
        <v>2.2999999999999998</v>
      </c>
      <c r="P22" s="20">
        <f>N22*O22</f>
        <v>6.8999999999999995</v>
      </c>
      <c r="Q22" s="16">
        <f>P22*12</f>
        <v>82.8</v>
      </c>
    </row>
    <row r="23" spans="1:17" s="24" customFormat="1" ht="21.75" customHeight="1" thickTop="1" x14ac:dyDescent="0.25">
      <c r="A23" s="179" t="s">
        <v>160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1"/>
      <c r="N23" s="21" t="s">
        <v>16</v>
      </c>
      <c r="O23" s="21" t="s">
        <v>17</v>
      </c>
      <c r="P23" s="22" t="s">
        <v>18</v>
      </c>
      <c r="Q23" s="23" t="s">
        <v>19</v>
      </c>
    </row>
    <row r="24" spans="1:17" ht="24" customHeight="1" thickBot="1" x14ac:dyDescent="0.25">
      <c r="A24" s="182"/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4"/>
      <c r="N24" s="25">
        <f>O15</f>
        <v>4</v>
      </c>
      <c r="O24" s="55">
        <v>12</v>
      </c>
      <c r="P24" s="57">
        <f>N24*O24</f>
        <v>48</v>
      </c>
      <c r="Q24" s="58">
        <f>P24*12</f>
        <v>576</v>
      </c>
    </row>
    <row r="25" spans="1:17" s="24" customFormat="1" ht="30.6" customHeight="1" thickTop="1" x14ac:dyDescent="0.25">
      <c r="A25" s="179" t="s">
        <v>163</v>
      </c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1"/>
      <c r="N25" s="21" t="s">
        <v>16</v>
      </c>
      <c r="O25" s="21" t="s">
        <v>17</v>
      </c>
      <c r="P25" s="22" t="s">
        <v>18</v>
      </c>
      <c r="Q25" s="23" t="s">
        <v>19</v>
      </c>
    </row>
    <row r="26" spans="1:17" ht="24" customHeight="1" thickBot="1" x14ac:dyDescent="0.25">
      <c r="A26" s="182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4"/>
      <c r="N26" s="25">
        <f>O14</f>
        <v>3</v>
      </c>
      <c r="O26" s="55">
        <v>10.63</v>
      </c>
      <c r="P26" s="57">
        <f>N26*O26</f>
        <v>31.89</v>
      </c>
      <c r="Q26" s="58">
        <f>P26*12</f>
        <v>382.68</v>
      </c>
    </row>
    <row r="27" spans="1:17" s="24" customFormat="1" ht="27" customHeight="1" thickTop="1" x14ac:dyDescent="0.25">
      <c r="A27" s="173" t="s">
        <v>161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5"/>
      <c r="N27" s="17" t="s">
        <v>16</v>
      </c>
      <c r="O27" s="17" t="s">
        <v>17</v>
      </c>
      <c r="P27" s="18" t="s">
        <v>18</v>
      </c>
      <c r="Q27" s="19" t="s">
        <v>19</v>
      </c>
    </row>
    <row r="28" spans="1:17" ht="19.5" customHeight="1" thickBot="1" x14ac:dyDescent="0.25">
      <c r="A28" s="176"/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8"/>
      <c r="N28" s="14">
        <f>O15</f>
        <v>4</v>
      </c>
      <c r="O28" s="55">
        <v>181.9</v>
      </c>
      <c r="P28" s="57">
        <f>N28*O28</f>
        <v>727.6</v>
      </c>
      <c r="Q28" s="58">
        <f>P28*12</f>
        <v>8731.2000000000007</v>
      </c>
    </row>
    <row r="29" spans="1:17" s="24" customFormat="1" ht="27" customHeight="1" thickTop="1" x14ac:dyDescent="0.25">
      <c r="A29" s="173" t="s">
        <v>162</v>
      </c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5"/>
      <c r="N29" s="17" t="s">
        <v>16</v>
      </c>
      <c r="O29" s="17" t="s">
        <v>17</v>
      </c>
      <c r="P29" s="18" t="s">
        <v>18</v>
      </c>
      <c r="Q29" s="19" t="s">
        <v>19</v>
      </c>
    </row>
    <row r="30" spans="1:17" ht="19.5" customHeight="1" thickBot="1" x14ac:dyDescent="0.25">
      <c r="A30" s="176"/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8"/>
      <c r="N30" s="14">
        <f>O14</f>
        <v>3</v>
      </c>
      <c r="O30" s="55">
        <v>160.07</v>
      </c>
      <c r="P30" s="57">
        <f>N30*O30</f>
        <v>480.21</v>
      </c>
      <c r="Q30" s="58">
        <f>P30*12</f>
        <v>5762.5199999999995</v>
      </c>
    </row>
    <row r="31" spans="1:17" ht="26.25" customHeight="1" thickTop="1" x14ac:dyDescent="0.2">
      <c r="A31" s="185" t="s">
        <v>20</v>
      </c>
      <c r="B31" s="186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7"/>
      <c r="P31" s="149">
        <f>SUM(P17:P30)</f>
        <v>1631.14</v>
      </c>
      <c r="Q31" s="150">
        <f>SUM(Q18:Q30)</f>
        <v>19573.68</v>
      </c>
    </row>
    <row r="32" spans="1:17" ht="33.75" customHeight="1" thickBot="1" x14ac:dyDescent="0.25">
      <c r="A32" s="188" t="s">
        <v>21</v>
      </c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90"/>
      <c r="P32" s="157">
        <f>ROUNDUP((P16+P31),2)</f>
        <v>44886.400000000001</v>
      </c>
      <c r="Q32" s="156">
        <f>ROUNDUP((Q16+Q31),2)</f>
        <v>538636.80000000005</v>
      </c>
    </row>
    <row r="33" spans="10:17" ht="15" thickTop="1" x14ac:dyDescent="0.2">
      <c r="O33" s="6"/>
      <c r="P33" s="6"/>
      <c r="Q33" s="26"/>
    </row>
    <row r="34" spans="10:17" x14ac:dyDescent="0.2">
      <c r="O34" s="6"/>
      <c r="P34" s="6"/>
      <c r="Q34" s="6"/>
    </row>
    <row r="35" spans="10:17" x14ac:dyDescent="0.2">
      <c r="O35" s="27" t="s">
        <v>22</v>
      </c>
      <c r="P35" s="26">
        <f>0.05*Q32</f>
        <v>26931.840000000004</v>
      </c>
      <c r="Q35" s="6"/>
    </row>
    <row r="36" spans="10:17" ht="15" x14ac:dyDescent="0.2">
      <c r="J36" s="28"/>
      <c r="O36" s="6"/>
      <c r="P36" s="6"/>
      <c r="Q36" s="6"/>
    </row>
    <row r="37" spans="10:17" ht="15" x14ac:dyDescent="0.2">
      <c r="J37" s="28"/>
      <c r="O37" s="6"/>
      <c r="P37" s="6"/>
      <c r="Q37" s="6"/>
    </row>
    <row r="38" spans="10:17" x14ac:dyDescent="0.2">
      <c r="J38" s="29"/>
      <c r="O38" s="6"/>
      <c r="P38" s="191"/>
      <c r="Q38" s="191"/>
    </row>
    <row r="39" spans="10:17" x14ac:dyDescent="0.2">
      <c r="J39" s="29"/>
      <c r="O39" s="6"/>
      <c r="P39" s="6"/>
      <c r="Q39" s="6"/>
    </row>
    <row r="40" spans="10:17" x14ac:dyDescent="0.2">
      <c r="J40" s="29"/>
      <c r="O40" s="6"/>
      <c r="P40" s="6"/>
      <c r="Q40" s="6"/>
    </row>
    <row r="41" spans="10:17" ht="15" x14ac:dyDescent="0.2">
      <c r="J41" s="30"/>
      <c r="O41" s="6"/>
      <c r="P41" s="6"/>
      <c r="Q41" s="6"/>
    </row>
    <row r="42" spans="10:17" x14ac:dyDescent="0.2">
      <c r="J42" s="29"/>
      <c r="O42" s="6"/>
      <c r="P42" s="6"/>
      <c r="Q42" s="6"/>
    </row>
  </sheetData>
  <mergeCells count="33">
    <mergeCell ref="L16:N16"/>
    <mergeCell ref="B11:B13"/>
    <mergeCell ref="O1:Q8"/>
    <mergeCell ref="A10:Q10"/>
    <mergeCell ref="A11:A13"/>
    <mergeCell ref="C11:C13"/>
    <mergeCell ref="E11:G11"/>
    <mergeCell ref="H11:J11"/>
    <mergeCell ref="K11:K13"/>
    <mergeCell ref="L11:L12"/>
    <mergeCell ref="M11:M13"/>
    <mergeCell ref="N11:N13"/>
    <mergeCell ref="O11:O13"/>
    <mergeCell ref="P11:P13"/>
    <mergeCell ref="Q11:Q13"/>
    <mergeCell ref="D12:D13"/>
    <mergeCell ref="G12:G13"/>
    <mergeCell ref="H12:H13"/>
    <mergeCell ref="I12:I13"/>
    <mergeCell ref="J12:J13"/>
    <mergeCell ref="C16:F16"/>
    <mergeCell ref="H16:I16"/>
    <mergeCell ref="E12:E13"/>
    <mergeCell ref="A32:O32"/>
    <mergeCell ref="P38:Q38"/>
    <mergeCell ref="A27:M28"/>
    <mergeCell ref="A25:M26"/>
    <mergeCell ref="A29:M30"/>
    <mergeCell ref="A17:M18"/>
    <mergeCell ref="A19:M20"/>
    <mergeCell ref="A21:M22"/>
    <mergeCell ref="A23:M24"/>
    <mergeCell ref="A31:O31"/>
  </mergeCells>
  <printOptions horizontalCentered="1"/>
  <pageMargins left="0.25" right="0.25" top="0.75" bottom="0.75" header="0.3" footer="0.3"/>
  <pageSetup paperSize="9" scale="53" fitToHeight="0" orientation="landscape" r:id="rId1"/>
  <headerFooter>
    <oddHeader>&amp;C&amp;"English111 Vivace BT,Regular"&amp;36Supremo Tribunal Federal</oddHeader>
  </headerFooter>
  <ignoredErrors>
    <ignoredError sqref="F14:F1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1C1A3"/>
    <pageSetUpPr fitToPage="1"/>
  </sheetPr>
  <dimension ref="A1:T51"/>
  <sheetViews>
    <sheetView topLeftCell="B7" zoomScale="110" zoomScaleNormal="110" zoomScaleSheetLayoutView="100" workbookViewId="0">
      <selection activeCell="B29" sqref="B29"/>
    </sheetView>
  </sheetViews>
  <sheetFormatPr defaultColWidth="8.85546875" defaultRowHeight="14.25" x14ac:dyDescent="0.2"/>
  <cols>
    <col min="1" max="3" width="8.85546875" style="1"/>
    <col min="4" max="4" width="12.85546875" style="1" customWidth="1"/>
    <col min="5" max="6" width="12.42578125" style="1" customWidth="1"/>
    <col min="7" max="7" width="14.140625" style="1" customWidth="1"/>
    <col min="8" max="8" width="15.28515625" style="1" customWidth="1"/>
    <col min="9" max="9" width="12.42578125" style="1" customWidth="1"/>
    <col min="10" max="10" width="17.42578125" style="1" customWidth="1"/>
    <col min="11" max="11" width="16.28515625" style="1" customWidth="1"/>
    <col min="12" max="12" width="16.140625" style="1" customWidth="1"/>
    <col min="13" max="13" width="17.7109375" style="1" customWidth="1"/>
    <col min="14" max="14" width="3.28515625" style="1" customWidth="1"/>
    <col min="15" max="15" width="3.140625" style="1" customWidth="1"/>
    <col min="16" max="16" width="28.42578125" style="1" bestFit="1" customWidth="1"/>
    <col min="17" max="17" width="14.5703125" style="1" customWidth="1"/>
    <col min="18" max="18" width="13.85546875" style="1" bestFit="1" customWidth="1"/>
    <col min="19" max="19" width="8.85546875" style="1"/>
    <col min="20" max="20" width="14.28515625" style="1" customWidth="1"/>
    <col min="21" max="16384" width="8.85546875" style="1"/>
  </cols>
  <sheetData>
    <row r="1" spans="1:13" x14ac:dyDescent="0.2">
      <c r="J1" s="243"/>
      <c r="K1" s="201"/>
      <c r="L1" s="201"/>
      <c r="M1" s="201"/>
    </row>
    <row r="2" spans="1:13" x14ac:dyDescent="0.2">
      <c r="J2" s="201"/>
      <c r="K2" s="201"/>
      <c r="L2" s="201"/>
      <c r="M2" s="201"/>
    </row>
    <row r="3" spans="1:13" x14ac:dyDescent="0.2">
      <c r="J3" s="201"/>
      <c r="K3" s="201"/>
      <c r="L3" s="201"/>
      <c r="M3" s="201"/>
    </row>
    <row r="4" spans="1:13" x14ac:dyDescent="0.2">
      <c r="J4" s="201"/>
      <c r="K4" s="201"/>
      <c r="L4" s="201"/>
      <c r="M4" s="201"/>
    </row>
    <row r="5" spans="1:13" x14ac:dyDescent="0.2">
      <c r="J5" s="201"/>
      <c r="K5" s="201"/>
      <c r="L5" s="201"/>
      <c r="M5" s="201"/>
    </row>
    <row r="6" spans="1:13" x14ac:dyDescent="0.2">
      <c r="J6" s="201"/>
      <c r="K6" s="201"/>
      <c r="L6" s="201"/>
      <c r="M6" s="201"/>
    </row>
    <row r="7" spans="1:13" ht="39.75" customHeight="1" x14ac:dyDescent="0.2">
      <c r="J7" s="201"/>
      <c r="K7" s="201"/>
      <c r="L7" s="201"/>
      <c r="M7" s="201"/>
    </row>
    <row r="8" spans="1:13" ht="38.25" customHeight="1" x14ac:dyDescent="0.2"/>
    <row r="9" spans="1:13" ht="24" customHeight="1" thickBot="1" x14ac:dyDescent="0.3">
      <c r="D9" s="244" t="s">
        <v>152</v>
      </c>
      <c r="E9" s="244"/>
      <c r="F9" s="244"/>
      <c r="G9" s="244"/>
      <c r="H9" s="244"/>
      <c r="I9" s="244"/>
      <c r="J9" s="244"/>
      <c r="K9" s="244"/>
      <c r="L9" s="31"/>
      <c r="M9" s="31"/>
    </row>
    <row r="10" spans="1:13" ht="35.25" customHeight="1" x14ac:dyDescent="0.25">
      <c r="D10" s="248" t="s">
        <v>23</v>
      </c>
      <c r="E10" s="247" t="s">
        <v>132</v>
      </c>
      <c r="F10" s="247"/>
      <c r="G10" s="247"/>
      <c r="H10" s="247"/>
      <c r="I10" s="252" t="s">
        <v>131</v>
      </c>
      <c r="J10" s="250" t="s">
        <v>133</v>
      </c>
      <c r="K10" s="251"/>
      <c r="L10" s="31"/>
      <c r="M10" s="31"/>
    </row>
    <row r="11" spans="1:13" ht="55.9" customHeight="1" thickBot="1" x14ac:dyDescent="0.3">
      <c r="A11" s="32"/>
      <c r="D11" s="249"/>
      <c r="E11" s="141" t="s">
        <v>105</v>
      </c>
      <c r="F11" s="141" t="s">
        <v>106</v>
      </c>
      <c r="G11" s="141" t="s">
        <v>24</v>
      </c>
      <c r="H11" s="141" t="s">
        <v>25</v>
      </c>
      <c r="I11" s="253"/>
      <c r="J11" s="141" t="s">
        <v>107</v>
      </c>
      <c r="K11" s="142" t="s">
        <v>108</v>
      </c>
    </row>
    <row r="12" spans="1:13" ht="15" x14ac:dyDescent="0.2">
      <c r="D12" s="138">
        <v>44682</v>
      </c>
      <c r="E12" s="136">
        <v>18</v>
      </c>
      <c r="F12" s="136">
        <v>4</v>
      </c>
      <c r="G12" s="136">
        <v>4</v>
      </c>
      <c r="H12" s="136">
        <v>5</v>
      </c>
      <c r="I12" s="136">
        <v>0</v>
      </c>
      <c r="J12" s="136">
        <v>132</v>
      </c>
      <c r="K12" s="139">
        <v>176</v>
      </c>
    </row>
    <row r="13" spans="1:13" ht="15" customHeight="1" x14ac:dyDescent="0.2">
      <c r="D13" s="138">
        <v>44713</v>
      </c>
      <c r="E13" s="136">
        <v>17</v>
      </c>
      <c r="F13" s="136">
        <v>4</v>
      </c>
      <c r="G13" s="136">
        <v>4</v>
      </c>
      <c r="H13" s="136">
        <v>5</v>
      </c>
      <c r="I13" s="136">
        <v>0</v>
      </c>
      <c r="J13" s="136">
        <v>126</v>
      </c>
      <c r="K13" s="139">
        <v>168</v>
      </c>
    </row>
    <row r="14" spans="1:13" ht="15" x14ac:dyDescent="0.2">
      <c r="D14" s="138">
        <v>44743</v>
      </c>
      <c r="E14" s="136">
        <v>16</v>
      </c>
      <c r="F14" s="136">
        <v>5</v>
      </c>
      <c r="G14" s="136">
        <v>5</v>
      </c>
      <c r="H14" s="136">
        <v>5</v>
      </c>
      <c r="I14" s="136">
        <v>0</v>
      </c>
      <c r="J14" s="136">
        <v>126</v>
      </c>
      <c r="K14" s="139">
        <v>168</v>
      </c>
    </row>
    <row r="15" spans="1:13" ht="15" x14ac:dyDescent="0.2">
      <c r="D15" s="138">
        <v>44774</v>
      </c>
      <c r="E15" s="136">
        <v>18</v>
      </c>
      <c r="F15" s="136">
        <v>4</v>
      </c>
      <c r="G15" s="136">
        <v>4</v>
      </c>
      <c r="H15" s="136">
        <v>4</v>
      </c>
      <c r="I15" s="136">
        <v>1</v>
      </c>
      <c r="J15" s="136">
        <v>132</v>
      </c>
      <c r="K15" s="139">
        <v>176</v>
      </c>
    </row>
    <row r="16" spans="1:13" ht="15" x14ac:dyDescent="0.2">
      <c r="D16" s="138">
        <v>44805</v>
      </c>
      <c r="E16" s="136">
        <v>16</v>
      </c>
      <c r="F16" s="136">
        <v>5</v>
      </c>
      <c r="G16" s="136">
        <v>4</v>
      </c>
      <c r="H16" s="136">
        <v>5</v>
      </c>
      <c r="I16" s="136">
        <v>0</v>
      </c>
      <c r="J16" s="136">
        <v>126</v>
      </c>
      <c r="K16" s="139">
        <v>168</v>
      </c>
    </row>
    <row r="17" spans="4:20" ht="15" customHeight="1" x14ac:dyDescent="0.2">
      <c r="D17" s="138">
        <v>44835</v>
      </c>
      <c r="E17" s="152">
        <v>16</v>
      </c>
      <c r="F17" s="137">
        <v>3</v>
      </c>
      <c r="G17" s="137">
        <v>5</v>
      </c>
      <c r="H17" s="137">
        <v>6</v>
      </c>
      <c r="I17" s="137">
        <v>1</v>
      </c>
      <c r="J17" s="137">
        <v>114</v>
      </c>
      <c r="K17" s="140">
        <v>152</v>
      </c>
    </row>
    <row r="18" spans="4:20" ht="15" x14ac:dyDescent="0.2">
      <c r="D18" s="138">
        <v>44866</v>
      </c>
      <c r="E18" s="137">
        <v>15</v>
      </c>
      <c r="F18" s="137">
        <v>4</v>
      </c>
      <c r="G18" s="137">
        <v>4</v>
      </c>
      <c r="H18" s="137">
        <v>6</v>
      </c>
      <c r="I18" s="137">
        <v>1</v>
      </c>
      <c r="J18" s="137">
        <v>114</v>
      </c>
      <c r="K18" s="140">
        <v>152</v>
      </c>
    </row>
    <row r="19" spans="4:20" ht="15" x14ac:dyDescent="0.2">
      <c r="D19" s="138">
        <v>44896</v>
      </c>
      <c r="E19" s="137">
        <v>16</v>
      </c>
      <c r="F19" s="137">
        <v>5</v>
      </c>
      <c r="G19" s="137">
        <v>5</v>
      </c>
      <c r="H19" s="137">
        <v>4</v>
      </c>
      <c r="I19" s="137">
        <v>1</v>
      </c>
      <c r="J19" s="137">
        <v>126</v>
      </c>
      <c r="K19" s="140">
        <v>168</v>
      </c>
    </row>
    <row r="20" spans="4:20" ht="15" x14ac:dyDescent="0.2">
      <c r="D20" s="138">
        <v>44927</v>
      </c>
      <c r="E20" s="137">
        <v>18</v>
      </c>
      <c r="F20" s="137">
        <v>4</v>
      </c>
      <c r="G20" s="137">
        <v>4</v>
      </c>
      <c r="H20" s="137">
        <v>5</v>
      </c>
      <c r="I20" s="137">
        <v>0</v>
      </c>
      <c r="J20" s="137">
        <v>132</v>
      </c>
      <c r="K20" s="140">
        <v>176</v>
      </c>
    </row>
    <row r="21" spans="4:20" ht="15" x14ac:dyDescent="0.2">
      <c r="D21" s="138">
        <v>44958</v>
      </c>
      <c r="E21" s="137">
        <v>14</v>
      </c>
      <c r="F21" s="137">
        <v>4</v>
      </c>
      <c r="G21" s="137">
        <v>4</v>
      </c>
      <c r="H21" s="137">
        <v>5</v>
      </c>
      <c r="I21" s="137">
        <v>1</v>
      </c>
      <c r="J21" s="137">
        <v>108</v>
      </c>
      <c r="K21" s="140">
        <v>144</v>
      </c>
    </row>
    <row r="22" spans="4:20" ht="15" x14ac:dyDescent="0.2">
      <c r="D22" s="138">
        <v>44986</v>
      </c>
      <c r="E22" s="137">
        <v>18</v>
      </c>
      <c r="F22" s="137">
        <v>5</v>
      </c>
      <c r="G22" s="137">
        <v>4</v>
      </c>
      <c r="H22" s="137">
        <v>4</v>
      </c>
      <c r="I22" s="137">
        <v>0</v>
      </c>
      <c r="J22" s="137">
        <v>138</v>
      </c>
      <c r="K22" s="140">
        <v>184</v>
      </c>
    </row>
    <row r="23" spans="4:20" ht="15" x14ac:dyDescent="0.2">
      <c r="D23" s="138">
        <v>45017</v>
      </c>
      <c r="E23" s="137">
        <v>14</v>
      </c>
      <c r="F23" s="137">
        <v>2</v>
      </c>
      <c r="G23" s="137">
        <v>5</v>
      </c>
      <c r="H23" s="137">
        <v>7</v>
      </c>
      <c r="I23" s="137">
        <v>2</v>
      </c>
      <c r="J23" s="137">
        <v>96</v>
      </c>
      <c r="K23" s="140">
        <v>128</v>
      </c>
    </row>
    <row r="24" spans="4:20" ht="15" x14ac:dyDescent="0.25">
      <c r="D24" s="134"/>
      <c r="E24" s="131">
        <f>SUM(E12:E23)</f>
        <v>196</v>
      </c>
      <c r="F24" s="131">
        <f>SUM(F12:F23)</f>
        <v>49</v>
      </c>
      <c r="G24" s="131">
        <f>SUM(G12:G23)</f>
        <v>52</v>
      </c>
      <c r="H24" s="131">
        <f>SUM(H12:H23)</f>
        <v>61</v>
      </c>
      <c r="I24" s="132"/>
      <c r="J24" s="132"/>
      <c r="K24" s="135"/>
    </row>
    <row r="25" spans="4:20" ht="15" x14ac:dyDescent="0.2">
      <c r="D25" s="133" t="s">
        <v>26</v>
      </c>
      <c r="E25" s="245">
        <f>SUM(E24:F24)</f>
        <v>245</v>
      </c>
      <c r="F25" s="245"/>
      <c r="G25" s="246"/>
      <c r="H25" s="246"/>
      <c r="I25" s="132"/>
      <c r="J25" s="132"/>
      <c r="K25" s="135"/>
    </row>
    <row r="26" spans="4:20" ht="20.25" customHeight="1" thickBot="1" x14ac:dyDescent="0.25">
      <c r="D26" s="254" t="s">
        <v>27</v>
      </c>
      <c r="E26" s="255"/>
      <c r="F26" s="255"/>
      <c r="G26" s="255"/>
      <c r="H26" s="255"/>
      <c r="I26" s="255"/>
      <c r="J26" s="163">
        <f>SUM(J12:J23)</f>
        <v>1470</v>
      </c>
      <c r="K26" s="167">
        <f>SUM(K12:K23)</f>
        <v>1960</v>
      </c>
    </row>
    <row r="27" spans="4:20" ht="15" x14ac:dyDescent="0.2"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4:20" ht="16.149999999999999" customHeight="1" thickBot="1" x14ac:dyDescent="0.3">
      <c r="D28" s="218" t="s">
        <v>28</v>
      </c>
      <c r="E28" s="218"/>
      <c r="F28" s="218"/>
      <c r="G28" s="218"/>
      <c r="H28" s="218"/>
      <c r="I28" s="218"/>
      <c r="J28" s="218"/>
      <c r="K28" s="218"/>
      <c r="L28" s="218"/>
      <c r="M28" s="218"/>
      <c r="P28" s="256" t="s">
        <v>138</v>
      </c>
      <c r="Q28" s="256"/>
      <c r="R28" s="256"/>
      <c r="S28" s="256"/>
      <c r="T28" s="256"/>
    </row>
    <row r="29" spans="4:20" ht="13.9" customHeight="1" thickTop="1" x14ac:dyDescent="0.2">
      <c r="D29" s="219" t="s">
        <v>29</v>
      </c>
      <c r="E29" s="220"/>
      <c r="F29" s="220"/>
      <c r="G29" s="220" t="s">
        <v>7</v>
      </c>
      <c r="H29" s="220" t="s">
        <v>149</v>
      </c>
      <c r="I29" s="220" t="s">
        <v>30</v>
      </c>
      <c r="J29" s="220" t="s">
        <v>150</v>
      </c>
      <c r="K29" s="35">
        <v>0.06</v>
      </c>
      <c r="L29" s="220" t="s">
        <v>31</v>
      </c>
      <c r="M29" s="225" t="s">
        <v>32</v>
      </c>
      <c r="P29" s="257" t="s">
        <v>62</v>
      </c>
      <c r="Q29" s="258"/>
      <c r="R29" s="263" t="s">
        <v>18</v>
      </c>
      <c r="S29" s="263" t="s">
        <v>139</v>
      </c>
      <c r="T29" s="261" t="s">
        <v>140</v>
      </c>
    </row>
    <row r="30" spans="4:20" x14ac:dyDescent="0.2">
      <c r="D30" s="237"/>
      <c r="E30" s="235"/>
      <c r="F30" s="235"/>
      <c r="G30" s="235"/>
      <c r="H30" s="235"/>
      <c r="I30" s="235"/>
      <c r="J30" s="235"/>
      <c r="K30" s="224" t="s">
        <v>33</v>
      </c>
      <c r="L30" s="235"/>
      <c r="M30" s="236"/>
      <c r="P30" s="259"/>
      <c r="Q30" s="260"/>
      <c r="R30" s="264"/>
      <c r="S30" s="264"/>
      <c r="T30" s="262"/>
    </row>
    <row r="31" spans="4:20" ht="18" customHeight="1" x14ac:dyDescent="0.2">
      <c r="D31" s="237"/>
      <c r="E31" s="235"/>
      <c r="F31" s="235"/>
      <c r="G31" s="235"/>
      <c r="H31" s="235"/>
      <c r="I31" s="235"/>
      <c r="J31" s="235"/>
      <c r="K31" s="222"/>
      <c r="L31" s="235"/>
      <c r="M31" s="236"/>
      <c r="P31" s="265" t="str">
        <f>'0105 A 300423'!A14</f>
        <v>Técnico em telecomunicações</v>
      </c>
      <c r="Q31" s="151" t="s">
        <v>142</v>
      </c>
      <c r="R31" s="268">
        <f>'0105 A 300423'!M14</f>
        <v>6798.38</v>
      </c>
      <c r="S31" s="271">
        <v>200</v>
      </c>
      <c r="T31" s="274">
        <f t="shared" ref="T31:T34" si="0">R31/S31</f>
        <v>33.991900000000001</v>
      </c>
    </row>
    <row r="32" spans="4:20" ht="16.5" customHeight="1" x14ac:dyDescent="0.2">
      <c r="D32" s="214" t="str">
        <f>'0105 A 300423'!A14</f>
        <v>Técnico em telecomunicações</v>
      </c>
      <c r="E32" s="215"/>
      <c r="F32" s="215"/>
      <c r="G32" s="227">
        <f>'0105 A 300423'!E14</f>
        <v>2564.61</v>
      </c>
      <c r="H32" s="227">
        <f t="shared" ref="H32" si="1">G32*12</f>
        <v>30775.32</v>
      </c>
      <c r="I32" s="231">
        <f>$E$25</f>
        <v>245</v>
      </c>
      <c r="J32" s="227">
        <f t="shared" ref="J32" si="2">H32/I32</f>
        <v>125.61355102040817</v>
      </c>
      <c r="K32" s="227">
        <f t="shared" ref="K32" si="3">J32*$K$29</f>
        <v>7.5368130612244899</v>
      </c>
      <c r="L32" s="231">
        <f>$E$25</f>
        <v>245</v>
      </c>
      <c r="M32" s="238">
        <f>K32*L32</f>
        <v>1846.5192</v>
      </c>
      <c r="P32" s="266"/>
      <c r="Q32" s="151" t="s">
        <v>143</v>
      </c>
      <c r="R32" s="269"/>
      <c r="S32" s="272"/>
      <c r="T32" s="275"/>
    </row>
    <row r="33" spans="4:20" ht="17.25" customHeight="1" x14ac:dyDescent="0.2">
      <c r="D33" s="214"/>
      <c r="E33" s="215"/>
      <c r="F33" s="215"/>
      <c r="G33" s="231"/>
      <c r="H33" s="231"/>
      <c r="I33" s="231"/>
      <c r="J33" s="231"/>
      <c r="K33" s="231"/>
      <c r="L33" s="231"/>
      <c r="M33" s="239"/>
      <c r="P33" s="267"/>
      <c r="Q33" s="151" t="s">
        <v>144</v>
      </c>
      <c r="R33" s="270"/>
      <c r="S33" s="273"/>
      <c r="T33" s="276"/>
    </row>
    <row r="34" spans="4:20" x14ac:dyDescent="0.2">
      <c r="D34" s="214" t="str">
        <f>'0105 A 300423'!A15</f>
        <v xml:space="preserve">Operador de Telefonia </v>
      </c>
      <c r="E34" s="215"/>
      <c r="F34" s="215"/>
      <c r="G34" s="240">
        <f>'0105 A 300423'!E15</f>
        <v>2028.65</v>
      </c>
      <c r="H34" s="227">
        <f t="shared" ref="H34" si="4">G34*12</f>
        <v>24343.800000000003</v>
      </c>
      <c r="I34" s="231">
        <f>$E$25</f>
        <v>245</v>
      </c>
      <c r="J34" s="227">
        <f t="shared" ref="J34" si="5">H34/I34</f>
        <v>99.362448979591846</v>
      </c>
      <c r="K34" s="227">
        <f t="shared" ref="K34" si="6">J34*$K$29</f>
        <v>5.9617469387755104</v>
      </c>
      <c r="L34" s="231">
        <f>$E$25</f>
        <v>245</v>
      </c>
      <c r="M34" s="238">
        <f>K34*L34</f>
        <v>1460.6280000000002</v>
      </c>
      <c r="P34" s="265" t="str">
        <f>'0105 A 300423'!A15</f>
        <v xml:space="preserve">Operador de Telefonia </v>
      </c>
      <c r="Q34" s="151" t="s">
        <v>145</v>
      </c>
      <c r="R34" s="268">
        <f>'0105 A 300423'!M15</f>
        <v>5715.0300000000007</v>
      </c>
      <c r="S34" s="271">
        <v>150</v>
      </c>
      <c r="T34" s="274">
        <f t="shared" si="0"/>
        <v>38.100200000000001</v>
      </c>
    </row>
    <row r="35" spans="4:20" ht="15" thickBot="1" x14ac:dyDescent="0.25">
      <c r="D35" s="216"/>
      <c r="E35" s="217"/>
      <c r="F35" s="217"/>
      <c r="G35" s="241"/>
      <c r="H35" s="230"/>
      <c r="I35" s="230"/>
      <c r="J35" s="230"/>
      <c r="K35" s="230"/>
      <c r="L35" s="230"/>
      <c r="M35" s="242"/>
      <c r="P35" s="267"/>
      <c r="Q35" s="151" t="s">
        <v>146</v>
      </c>
      <c r="R35" s="270"/>
      <c r="S35" s="273"/>
      <c r="T35" s="276"/>
    </row>
    <row r="36" spans="4:20" ht="16.5" thickTop="1" thickBot="1" x14ac:dyDescent="0.25">
      <c r="G36" s="36"/>
      <c r="H36" s="36"/>
      <c r="I36" s="36"/>
      <c r="J36" s="36"/>
      <c r="K36" s="36"/>
      <c r="L36" s="36"/>
      <c r="M36" s="37"/>
      <c r="R36" s="38"/>
      <c r="T36" s="6"/>
    </row>
    <row r="37" spans="4:20" ht="13.9" customHeight="1" thickTop="1" x14ac:dyDescent="0.2">
      <c r="D37" s="219" t="s">
        <v>29</v>
      </c>
      <c r="E37" s="220"/>
      <c r="F37" s="220"/>
      <c r="G37" s="220" t="s">
        <v>35</v>
      </c>
      <c r="H37" s="220" t="s">
        <v>36</v>
      </c>
      <c r="I37" s="220" t="s">
        <v>30</v>
      </c>
      <c r="J37" s="220" t="s">
        <v>37</v>
      </c>
      <c r="K37" s="220" t="s">
        <v>32</v>
      </c>
      <c r="L37" s="220" t="s">
        <v>38</v>
      </c>
      <c r="M37" s="225" t="s">
        <v>39</v>
      </c>
      <c r="R37" s="6"/>
      <c r="S37" s="6"/>
      <c r="T37" s="6"/>
    </row>
    <row r="38" spans="4:20" ht="16.149999999999999" customHeight="1" x14ac:dyDescent="0.2">
      <c r="D38" s="237"/>
      <c r="E38" s="235"/>
      <c r="F38" s="235"/>
      <c r="G38" s="235"/>
      <c r="H38" s="235"/>
      <c r="I38" s="235"/>
      <c r="J38" s="235"/>
      <c r="K38" s="235"/>
      <c r="L38" s="235"/>
      <c r="M38" s="236"/>
      <c r="R38" s="6"/>
      <c r="S38" s="6"/>
      <c r="T38" s="6"/>
    </row>
    <row r="39" spans="4:20" x14ac:dyDescent="0.2">
      <c r="D39" s="237"/>
      <c r="E39" s="235"/>
      <c r="F39" s="235"/>
      <c r="G39" s="235"/>
      <c r="H39" s="235"/>
      <c r="I39" s="235"/>
      <c r="J39" s="235"/>
      <c r="K39" s="235"/>
      <c r="L39" s="235"/>
      <c r="M39" s="236"/>
      <c r="R39" s="6"/>
      <c r="S39" s="6"/>
      <c r="T39" s="6"/>
    </row>
    <row r="40" spans="4:20" x14ac:dyDescent="0.2">
      <c r="D40" s="214" t="str">
        <f>$D$32</f>
        <v>Técnico em telecomunicações</v>
      </c>
      <c r="E40" s="215"/>
      <c r="F40" s="215"/>
      <c r="G40" s="227">
        <v>5.5</v>
      </c>
      <c r="H40" s="231">
        <v>2</v>
      </c>
      <c r="I40" s="231">
        <f>$E$25</f>
        <v>245</v>
      </c>
      <c r="J40" s="227">
        <f t="shared" ref="J40" si="7">G40*H40*I40</f>
        <v>2695</v>
      </c>
      <c r="K40" s="227">
        <f>M32</f>
        <v>1846.5192</v>
      </c>
      <c r="L40" s="227">
        <f t="shared" ref="L40:L43" si="8">IF(J40-K40&lt;=0,0,J40-K40)</f>
        <v>848.48080000000004</v>
      </c>
      <c r="M40" s="228">
        <f t="shared" ref="M40" si="9">L40/12</f>
        <v>70.706733333333332</v>
      </c>
      <c r="R40" s="6"/>
      <c r="S40" s="6">
        <f>0.05*T33</f>
        <v>0</v>
      </c>
      <c r="T40" s="6"/>
    </row>
    <row r="41" spans="4:20" x14ac:dyDescent="0.2">
      <c r="D41" s="214"/>
      <c r="E41" s="215"/>
      <c r="F41" s="215"/>
      <c r="G41" s="231"/>
      <c r="H41" s="231"/>
      <c r="I41" s="231"/>
      <c r="J41" s="231"/>
      <c r="K41" s="231"/>
      <c r="L41" s="227">
        <f t="shared" si="8"/>
        <v>0</v>
      </c>
      <c r="M41" s="229"/>
      <c r="R41" s="6"/>
      <c r="S41" s="6"/>
      <c r="T41" s="6"/>
    </row>
    <row r="42" spans="4:20" x14ac:dyDescent="0.2">
      <c r="D42" s="214" t="str">
        <f>$D$34</f>
        <v xml:space="preserve">Operador de Telefonia </v>
      </c>
      <c r="E42" s="215"/>
      <c r="F42" s="215"/>
      <c r="G42" s="227">
        <v>5.5</v>
      </c>
      <c r="H42" s="231">
        <v>2</v>
      </c>
      <c r="I42" s="231">
        <f>$E$25</f>
        <v>245</v>
      </c>
      <c r="J42" s="227">
        <f t="shared" ref="J42" si="10">G42*H42*I42</f>
        <v>2695</v>
      </c>
      <c r="K42" s="227">
        <f>M34</f>
        <v>1460.6280000000002</v>
      </c>
      <c r="L42" s="227">
        <f t="shared" si="8"/>
        <v>1234.3719999999998</v>
      </c>
      <c r="M42" s="233">
        <f t="shared" ref="M42" si="11">L42/12</f>
        <v>102.86433333333332</v>
      </c>
    </row>
    <row r="43" spans="4:20" ht="15" thickBot="1" x14ac:dyDescent="0.25">
      <c r="D43" s="216"/>
      <c r="E43" s="217"/>
      <c r="F43" s="217"/>
      <c r="G43" s="230"/>
      <c r="H43" s="230"/>
      <c r="I43" s="230"/>
      <c r="J43" s="230"/>
      <c r="K43" s="230"/>
      <c r="L43" s="232">
        <f t="shared" si="8"/>
        <v>0</v>
      </c>
      <c r="M43" s="234"/>
    </row>
    <row r="44" spans="4:20" ht="15" thickTop="1" x14ac:dyDescent="0.2"/>
    <row r="45" spans="4:20" ht="16.5" customHeight="1" thickBot="1" x14ac:dyDescent="0.25">
      <c r="D45" s="218" t="s">
        <v>40</v>
      </c>
      <c r="E45" s="218"/>
      <c r="F45" s="218"/>
      <c r="G45" s="218"/>
      <c r="H45" s="218"/>
      <c r="I45" s="218"/>
      <c r="J45" s="218"/>
      <c r="K45" s="218"/>
      <c r="L45" s="39"/>
      <c r="M45" s="39"/>
    </row>
    <row r="46" spans="4:20" ht="32.25" customHeight="1" thickTop="1" x14ac:dyDescent="0.2">
      <c r="D46" s="219" t="s">
        <v>29</v>
      </c>
      <c r="E46" s="220"/>
      <c r="F46" s="220"/>
      <c r="G46" s="223" t="s">
        <v>41</v>
      </c>
      <c r="H46" s="40" t="s">
        <v>42</v>
      </c>
      <c r="I46" s="223" t="s">
        <v>43</v>
      </c>
      <c r="J46" s="223" t="s">
        <v>44</v>
      </c>
      <c r="K46" s="225" t="s">
        <v>45</v>
      </c>
    </row>
    <row r="47" spans="4:20" ht="23.25" customHeight="1" x14ac:dyDescent="0.2">
      <c r="D47" s="221"/>
      <c r="E47" s="222"/>
      <c r="F47" s="222"/>
      <c r="G47" s="224"/>
      <c r="H47" s="41">
        <v>0</v>
      </c>
      <c r="I47" s="224"/>
      <c r="J47" s="224"/>
      <c r="K47" s="226"/>
    </row>
    <row r="48" spans="4:20" ht="21.75" customHeight="1" x14ac:dyDescent="0.2">
      <c r="D48" s="221"/>
      <c r="E48" s="222"/>
      <c r="F48" s="222"/>
      <c r="G48" s="224"/>
      <c r="H48" s="42">
        <v>0</v>
      </c>
      <c r="I48" s="224"/>
      <c r="J48" s="224"/>
      <c r="K48" s="226"/>
    </row>
    <row r="49" spans="4:11" ht="28.5" customHeight="1" x14ac:dyDescent="0.2">
      <c r="D49" s="214" t="str">
        <f>$D$32</f>
        <v>Técnico em telecomunicações</v>
      </c>
      <c r="E49" s="215"/>
      <c r="F49" s="215"/>
      <c r="G49" s="43">
        <v>35</v>
      </c>
      <c r="H49" s="54">
        <f>(G49)-(G49*$H$47)</f>
        <v>35</v>
      </c>
      <c r="I49" s="33">
        <f>E25</f>
        <v>245</v>
      </c>
      <c r="J49" s="43">
        <f t="shared" ref="J49:J50" si="12">H49*I49</f>
        <v>8575</v>
      </c>
      <c r="K49" s="169">
        <f t="shared" ref="K49" si="13">J49/12</f>
        <v>714.58333333333337</v>
      </c>
    </row>
    <row r="50" spans="4:11" ht="28.5" customHeight="1" thickBot="1" x14ac:dyDescent="0.25">
      <c r="D50" s="216" t="str">
        <f>$D$34</f>
        <v xml:space="preserve">Operador de Telefonia </v>
      </c>
      <c r="E50" s="217"/>
      <c r="F50" s="217"/>
      <c r="G50" s="52">
        <v>38</v>
      </c>
      <c r="H50" s="53">
        <f>((G50)-(G50*$H$48))</f>
        <v>38</v>
      </c>
      <c r="I50" s="44">
        <f>E25</f>
        <v>245</v>
      </c>
      <c r="J50" s="45">
        <f t="shared" si="12"/>
        <v>9310</v>
      </c>
      <c r="K50" s="170">
        <f>J50/12</f>
        <v>775.83333333333337</v>
      </c>
    </row>
    <row r="51" spans="4:11" ht="15" thickTop="1" x14ac:dyDescent="0.2"/>
  </sheetData>
  <mergeCells count="79">
    <mergeCell ref="P31:P33"/>
    <mergeCell ref="R31:R33"/>
    <mergeCell ref="S31:S33"/>
    <mergeCell ref="T31:T33"/>
    <mergeCell ref="P34:P35"/>
    <mergeCell ref="R34:R35"/>
    <mergeCell ref="S34:S35"/>
    <mergeCell ref="T34:T35"/>
    <mergeCell ref="P28:T28"/>
    <mergeCell ref="P29:Q30"/>
    <mergeCell ref="T29:T30"/>
    <mergeCell ref="R29:R30"/>
    <mergeCell ref="S29:S30"/>
    <mergeCell ref="D28:M28"/>
    <mergeCell ref="J1:M7"/>
    <mergeCell ref="D9:K9"/>
    <mergeCell ref="E25:F25"/>
    <mergeCell ref="G25:H25"/>
    <mergeCell ref="E10:H10"/>
    <mergeCell ref="D10:D11"/>
    <mergeCell ref="J10:K10"/>
    <mergeCell ref="I10:I11"/>
    <mergeCell ref="D26:I26"/>
    <mergeCell ref="M29:M31"/>
    <mergeCell ref="K30:K31"/>
    <mergeCell ref="D29:F31"/>
    <mergeCell ref="G29:G31"/>
    <mergeCell ref="H29:H31"/>
    <mergeCell ref="I29:I31"/>
    <mergeCell ref="J29:J31"/>
    <mergeCell ref="L29:L31"/>
    <mergeCell ref="L32:L33"/>
    <mergeCell ref="M32:M33"/>
    <mergeCell ref="D34:F35"/>
    <mergeCell ref="G34:G35"/>
    <mergeCell ref="H34:H35"/>
    <mergeCell ref="I34:I35"/>
    <mergeCell ref="J34:J35"/>
    <mergeCell ref="K34:K35"/>
    <mergeCell ref="L34:L35"/>
    <mergeCell ref="M34:M35"/>
    <mergeCell ref="D32:F33"/>
    <mergeCell ref="G32:G33"/>
    <mergeCell ref="H32:H33"/>
    <mergeCell ref="I32:I33"/>
    <mergeCell ref="J32:J33"/>
    <mergeCell ref="K32:K33"/>
    <mergeCell ref="L37:L39"/>
    <mergeCell ref="M37:M39"/>
    <mergeCell ref="D37:F39"/>
    <mergeCell ref="G37:G39"/>
    <mergeCell ref="H37:H39"/>
    <mergeCell ref="I37:I39"/>
    <mergeCell ref="J37:J39"/>
    <mergeCell ref="K37:K39"/>
    <mergeCell ref="L40:L41"/>
    <mergeCell ref="M40:M41"/>
    <mergeCell ref="D42:F43"/>
    <mergeCell ref="G42:G43"/>
    <mergeCell ref="H42:H43"/>
    <mergeCell ref="I42:I43"/>
    <mergeCell ref="J42:J43"/>
    <mergeCell ref="K42:K43"/>
    <mergeCell ref="L42:L43"/>
    <mergeCell ref="M42:M43"/>
    <mergeCell ref="D40:F41"/>
    <mergeCell ref="G40:G41"/>
    <mergeCell ref="H40:H41"/>
    <mergeCell ref="I40:I41"/>
    <mergeCell ref="J40:J41"/>
    <mergeCell ref="K40:K41"/>
    <mergeCell ref="D49:F49"/>
    <mergeCell ref="D50:F50"/>
    <mergeCell ref="D45:K45"/>
    <mergeCell ref="D46:F48"/>
    <mergeCell ref="G46:G48"/>
    <mergeCell ref="I46:I48"/>
    <mergeCell ref="J46:J48"/>
    <mergeCell ref="K46:K4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2" orientation="portrait" r:id="rId1"/>
  <headerFooter>
    <oddHeader>&amp;C&amp;"English111 Vivace BT,Regular"&amp;36Supremo Tribunal Federal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1:N53"/>
  <sheetViews>
    <sheetView showGridLines="0" zoomScaleNormal="100" zoomScaleSheetLayoutView="100" workbookViewId="0">
      <selection activeCell="L2" sqref="L2"/>
    </sheetView>
  </sheetViews>
  <sheetFormatPr defaultColWidth="8.85546875" defaultRowHeight="12.75" customHeight="1" x14ac:dyDescent="0.25"/>
  <cols>
    <col min="1" max="1" width="9.140625" style="63" customWidth="1"/>
    <col min="2" max="2" width="9.42578125" style="63" customWidth="1"/>
    <col min="3" max="3" width="68" style="63" customWidth="1"/>
    <col min="4" max="5" width="11.42578125" style="63" customWidth="1"/>
    <col min="6" max="6" width="4.140625" style="63" customWidth="1"/>
    <col min="7" max="7" width="42.140625" style="63" customWidth="1"/>
    <col min="8" max="8" width="15.42578125" style="63" customWidth="1"/>
    <col min="9" max="9" width="9.140625" style="63" customWidth="1"/>
    <col min="10" max="11" width="14.42578125" style="63" customWidth="1"/>
    <col min="12" max="13" width="9.140625" style="63" customWidth="1"/>
    <col min="14" max="14" width="10.85546875" style="63" customWidth="1"/>
    <col min="15" max="15" width="8.85546875" style="63" customWidth="1"/>
    <col min="16" max="16384" width="8.85546875" style="63"/>
  </cols>
  <sheetData>
    <row r="1" spans="1:14" ht="6.75" customHeight="1" x14ac:dyDescent="0.25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</row>
    <row r="2" spans="1:14" ht="17.25" customHeight="1" x14ac:dyDescent="0.25">
      <c r="A2" s="64"/>
      <c r="B2" s="312" t="s">
        <v>110</v>
      </c>
      <c r="C2" s="313"/>
      <c r="D2" s="313"/>
      <c r="E2" s="313"/>
      <c r="F2" s="65"/>
      <c r="G2" s="65"/>
      <c r="H2" s="65"/>
      <c r="I2" s="66"/>
      <c r="J2" s="66"/>
      <c r="K2" s="67"/>
      <c r="L2" s="67"/>
      <c r="M2" s="67"/>
      <c r="N2" s="68"/>
    </row>
    <row r="3" spans="1:14" ht="15.75" customHeight="1" x14ac:dyDescent="0.25">
      <c r="A3" s="64"/>
      <c r="B3" s="314" t="s">
        <v>46</v>
      </c>
      <c r="C3" s="315"/>
      <c r="D3" s="315"/>
      <c r="E3" s="315"/>
      <c r="F3" s="65"/>
      <c r="G3" s="316" t="s">
        <v>75</v>
      </c>
      <c r="H3" s="315"/>
      <c r="I3" s="315"/>
      <c r="J3" s="315"/>
      <c r="K3" s="315"/>
      <c r="L3" s="67"/>
      <c r="M3" s="67"/>
      <c r="N3" s="68"/>
    </row>
    <row r="4" spans="1:14" ht="40.5" customHeight="1" x14ac:dyDescent="0.25">
      <c r="A4" s="69"/>
      <c r="B4" s="317" t="s">
        <v>47</v>
      </c>
      <c r="C4" s="319" t="s">
        <v>48</v>
      </c>
      <c r="D4" s="319" t="s">
        <v>157</v>
      </c>
      <c r="E4" s="321"/>
      <c r="F4" s="70"/>
      <c r="G4" s="322" t="s">
        <v>51</v>
      </c>
      <c r="H4" s="323"/>
      <c r="I4" s="324"/>
      <c r="J4" s="328" t="s">
        <v>76</v>
      </c>
      <c r="K4" s="328" t="s">
        <v>77</v>
      </c>
      <c r="L4" s="71"/>
      <c r="M4" s="67"/>
      <c r="N4" s="68"/>
    </row>
    <row r="5" spans="1:14" ht="13.5" customHeight="1" thickBot="1" x14ac:dyDescent="0.3">
      <c r="A5" s="69"/>
      <c r="B5" s="318"/>
      <c r="C5" s="320"/>
      <c r="D5" s="118">
        <v>0.03</v>
      </c>
      <c r="E5" s="119">
        <v>2</v>
      </c>
      <c r="F5" s="70"/>
      <c r="G5" s="325"/>
      <c r="H5" s="326"/>
      <c r="I5" s="327"/>
      <c r="J5" s="329"/>
      <c r="K5" s="329"/>
      <c r="L5" s="71"/>
      <c r="M5" s="67"/>
      <c r="N5" s="68"/>
    </row>
    <row r="6" spans="1:14" ht="12.75" customHeight="1" x14ac:dyDescent="0.25">
      <c r="A6" s="69"/>
      <c r="B6" s="292" t="s">
        <v>78</v>
      </c>
      <c r="C6" s="293"/>
      <c r="D6" s="292" t="s">
        <v>49</v>
      </c>
      <c r="E6" s="293"/>
      <c r="F6" s="70"/>
      <c r="G6" s="330" t="s">
        <v>52</v>
      </c>
      <c r="H6" s="331"/>
      <c r="I6" s="332"/>
      <c r="J6" s="72" t="s">
        <v>49</v>
      </c>
      <c r="K6" s="72" t="s">
        <v>49</v>
      </c>
      <c r="L6" s="71"/>
      <c r="M6" s="67"/>
      <c r="N6" s="68"/>
    </row>
    <row r="7" spans="1:14" ht="12.75" customHeight="1" x14ac:dyDescent="0.25">
      <c r="A7" s="69"/>
      <c r="B7" s="73">
        <v>1</v>
      </c>
      <c r="C7" s="74" t="s">
        <v>111</v>
      </c>
      <c r="D7" s="279">
        <v>0.2</v>
      </c>
      <c r="E7" s="279"/>
      <c r="F7" s="70"/>
      <c r="G7" s="310" t="s">
        <v>79</v>
      </c>
      <c r="H7" s="311"/>
      <c r="I7" s="72" t="s">
        <v>53</v>
      </c>
      <c r="J7" s="75">
        <v>0.05</v>
      </c>
      <c r="K7" s="75">
        <v>0.05</v>
      </c>
      <c r="L7" s="71"/>
      <c r="M7" s="67"/>
      <c r="N7" s="68"/>
    </row>
    <row r="8" spans="1:14" ht="12.75" customHeight="1" x14ac:dyDescent="0.25">
      <c r="A8" s="69"/>
      <c r="B8" s="73">
        <v>2</v>
      </c>
      <c r="C8" s="130" t="s">
        <v>126</v>
      </c>
      <c r="D8" s="279">
        <v>1.4999999999999999E-2</v>
      </c>
      <c r="E8" s="279"/>
      <c r="F8" s="70"/>
      <c r="G8" s="310" t="s">
        <v>80</v>
      </c>
      <c r="H8" s="311"/>
      <c r="I8" s="72" t="s">
        <v>54</v>
      </c>
      <c r="J8" s="75">
        <v>7.0000000000000007E-2</v>
      </c>
      <c r="K8" s="75">
        <v>7.0000000000000007E-2</v>
      </c>
      <c r="L8" s="71"/>
      <c r="M8" s="67"/>
      <c r="N8" s="68"/>
    </row>
    <row r="9" spans="1:14" ht="12.75" customHeight="1" x14ac:dyDescent="0.25">
      <c r="A9" s="69"/>
      <c r="B9" s="73">
        <v>3</v>
      </c>
      <c r="C9" s="130" t="s">
        <v>81</v>
      </c>
      <c r="D9" s="279">
        <v>0.01</v>
      </c>
      <c r="E9" s="279"/>
      <c r="F9" s="70"/>
      <c r="G9" s="76" t="s">
        <v>82</v>
      </c>
      <c r="H9" s="77"/>
      <c r="I9" s="72" t="s">
        <v>55</v>
      </c>
      <c r="J9" s="75">
        <f>SUM(J10:J13)</f>
        <v>8.6500000000000007E-2</v>
      </c>
      <c r="K9" s="75">
        <f>SUM(K10:K13)</f>
        <v>0.14250000000000002</v>
      </c>
      <c r="L9" s="71"/>
      <c r="M9" s="67"/>
      <c r="N9" s="68"/>
    </row>
    <row r="10" spans="1:14" ht="12.75" customHeight="1" x14ac:dyDescent="0.25">
      <c r="A10" s="69"/>
      <c r="B10" s="73">
        <v>4</v>
      </c>
      <c r="C10" s="130" t="s">
        <v>83</v>
      </c>
      <c r="D10" s="279">
        <v>2E-3</v>
      </c>
      <c r="E10" s="279"/>
      <c r="F10" s="70"/>
      <c r="G10" s="71"/>
      <c r="H10" s="78"/>
      <c r="I10" s="72" t="s">
        <v>56</v>
      </c>
      <c r="J10" s="79">
        <v>0.05</v>
      </c>
      <c r="K10" s="79">
        <v>0.05</v>
      </c>
      <c r="L10" s="71"/>
      <c r="M10" s="67"/>
      <c r="N10" s="68"/>
    </row>
    <row r="11" spans="1:14" ht="12.75" customHeight="1" x14ac:dyDescent="0.25">
      <c r="A11" s="69"/>
      <c r="B11" s="73">
        <v>5</v>
      </c>
      <c r="C11" s="130" t="s">
        <v>84</v>
      </c>
      <c r="D11" s="279">
        <v>2.5000000000000001E-2</v>
      </c>
      <c r="E11" s="279"/>
      <c r="F11" s="70"/>
      <c r="G11" s="71"/>
      <c r="H11" s="78"/>
      <c r="I11" s="72" t="s">
        <v>57</v>
      </c>
      <c r="J11" s="79">
        <v>0.03</v>
      </c>
      <c r="K11" s="79">
        <v>7.5999999999999998E-2</v>
      </c>
      <c r="L11" s="71"/>
      <c r="M11" s="67"/>
      <c r="N11" s="68"/>
    </row>
    <row r="12" spans="1:14" ht="12.75" customHeight="1" x14ac:dyDescent="0.25">
      <c r="A12" s="69"/>
      <c r="B12" s="73">
        <v>6</v>
      </c>
      <c r="C12" s="130" t="s">
        <v>85</v>
      </c>
      <c r="D12" s="279">
        <v>0.08</v>
      </c>
      <c r="E12" s="279"/>
      <c r="F12" s="70"/>
      <c r="G12" s="71"/>
      <c r="H12" s="78"/>
      <c r="I12" s="72" t="s">
        <v>58</v>
      </c>
      <c r="J12" s="79">
        <v>6.4999999999999997E-3</v>
      </c>
      <c r="K12" s="79">
        <v>1.6500000000000001E-2</v>
      </c>
      <c r="L12" s="71"/>
      <c r="M12" s="67"/>
      <c r="N12" s="68"/>
    </row>
    <row r="13" spans="1:14" ht="12.75" customHeight="1" x14ac:dyDescent="0.25">
      <c r="A13" s="69"/>
      <c r="B13" s="73">
        <v>7</v>
      </c>
      <c r="C13" s="74" t="s">
        <v>50</v>
      </c>
      <c r="D13" s="279">
        <f>D5*E5</f>
        <v>0.06</v>
      </c>
      <c r="E13" s="279"/>
      <c r="F13" s="70"/>
      <c r="G13" s="80"/>
      <c r="H13" s="81"/>
      <c r="I13" s="72" t="s">
        <v>86</v>
      </c>
      <c r="J13" s="79">
        <v>0</v>
      </c>
      <c r="K13" s="79">
        <v>0</v>
      </c>
      <c r="L13" s="71"/>
      <c r="M13" s="67"/>
      <c r="N13" s="68"/>
    </row>
    <row r="14" spans="1:14" ht="13.5" customHeight="1" x14ac:dyDescent="0.25">
      <c r="A14" s="69"/>
      <c r="B14" s="73">
        <v>8</v>
      </c>
      <c r="C14" s="130" t="s">
        <v>87</v>
      </c>
      <c r="D14" s="279">
        <v>6.0000000000000001E-3</v>
      </c>
      <c r="E14" s="279"/>
      <c r="F14" s="70"/>
      <c r="G14" s="300" t="s">
        <v>88</v>
      </c>
      <c r="H14" s="301"/>
      <c r="I14" s="302"/>
      <c r="J14" s="125">
        <f>(((1+J7)*(1+J8))/(1-J9))-1</f>
        <v>0.22988505747126453</v>
      </c>
      <c r="K14" s="125">
        <f>(((1+K7)*(1+K8))/(1-K9))-1</f>
        <v>0.31020408163265345</v>
      </c>
      <c r="L14" s="71"/>
      <c r="M14" s="67"/>
      <c r="N14" s="68"/>
    </row>
    <row r="15" spans="1:14" ht="13.5" customHeight="1" thickBot="1" x14ac:dyDescent="0.3">
      <c r="A15" s="69"/>
      <c r="B15" s="280" t="s">
        <v>89</v>
      </c>
      <c r="C15" s="281"/>
      <c r="D15" s="282">
        <f>SUM(D7:D14)</f>
        <v>0.39800000000000008</v>
      </c>
      <c r="E15" s="282"/>
      <c r="F15" s="82"/>
      <c r="G15" s="303" t="s">
        <v>90</v>
      </c>
      <c r="H15" s="304"/>
      <c r="I15" s="83"/>
      <c r="J15" s="83"/>
      <c r="K15" s="84"/>
      <c r="L15" s="71"/>
      <c r="M15" s="67"/>
      <c r="N15" s="68"/>
    </row>
    <row r="16" spans="1:14" ht="12.75" customHeight="1" x14ac:dyDescent="0.25">
      <c r="A16" s="69"/>
      <c r="B16" s="292" t="s">
        <v>91</v>
      </c>
      <c r="C16" s="293"/>
      <c r="D16" s="292" t="s">
        <v>49</v>
      </c>
      <c r="E16" s="293"/>
      <c r="F16" s="70"/>
      <c r="G16" s="71"/>
      <c r="H16" s="67"/>
      <c r="I16" s="67"/>
      <c r="J16" s="67"/>
      <c r="K16" s="78"/>
      <c r="L16" s="71"/>
      <c r="M16" s="67"/>
      <c r="N16" s="68"/>
    </row>
    <row r="17" spans="1:14" ht="27.75" customHeight="1" x14ac:dyDescent="0.25">
      <c r="A17" s="69"/>
      <c r="B17" s="85"/>
      <c r="C17" s="86"/>
      <c r="D17" s="87" t="s">
        <v>112</v>
      </c>
      <c r="E17" s="88" t="s">
        <v>113</v>
      </c>
      <c r="F17" s="70"/>
      <c r="G17" s="71"/>
      <c r="H17" s="67"/>
      <c r="I17" s="67"/>
      <c r="J17" s="67"/>
      <c r="K17" s="78"/>
      <c r="L17" s="71"/>
      <c r="M17" s="67"/>
      <c r="N17" s="68"/>
    </row>
    <row r="18" spans="1:14" ht="12.75" customHeight="1" x14ac:dyDescent="0.25">
      <c r="A18" s="69"/>
      <c r="B18" s="73">
        <v>9</v>
      </c>
      <c r="C18" s="130" t="s">
        <v>127</v>
      </c>
      <c r="D18" s="89">
        <f t="shared" ref="D18:D19" si="0">1/12</f>
        <v>8.3333333333333329E-2</v>
      </c>
      <c r="E18" s="89">
        <f t="shared" ref="E18:E19" si="1">1/11</f>
        <v>9.0909090909090912E-2</v>
      </c>
      <c r="F18" s="70"/>
      <c r="G18" s="90" t="s">
        <v>59</v>
      </c>
      <c r="H18" s="91"/>
      <c r="I18" s="67"/>
      <c r="J18" s="67"/>
      <c r="K18" s="78"/>
      <c r="L18" s="71"/>
      <c r="M18" s="67"/>
      <c r="N18" s="68"/>
    </row>
    <row r="19" spans="1:14" ht="12.75" customHeight="1" x14ac:dyDescent="0.25">
      <c r="A19" s="69"/>
      <c r="B19" s="73">
        <v>10</v>
      </c>
      <c r="C19" s="130" t="s">
        <v>128</v>
      </c>
      <c r="D19" s="89">
        <f t="shared" si="0"/>
        <v>8.3333333333333329E-2</v>
      </c>
      <c r="E19" s="89">
        <f t="shared" si="1"/>
        <v>9.0909090909090912E-2</v>
      </c>
      <c r="F19" s="70"/>
      <c r="G19" s="92" t="s">
        <v>92</v>
      </c>
      <c r="H19" s="67"/>
      <c r="I19" s="67"/>
      <c r="J19" s="67"/>
      <c r="K19" s="78"/>
      <c r="L19" s="71"/>
      <c r="M19" s="67"/>
      <c r="N19" s="68"/>
    </row>
    <row r="20" spans="1:14" ht="12.75" customHeight="1" x14ac:dyDescent="0.25">
      <c r="A20" s="69"/>
      <c r="B20" s="73">
        <v>11</v>
      </c>
      <c r="C20" s="130" t="s">
        <v>129</v>
      </c>
      <c r="D20" s="89">
        <f>1/3/12</f>
        <v>2.7777777777777776E-2</v>
      </c>
      <c r="E20" s="89">
        <f>1/3/11</f>
        <v>3.03030303030303E-2</v>
      </c>
      <c r="F20" s="70"/>
      <c r="G20" s="92" t="s">
        <v>93</v>
      </c>
      <c r="H20" s="67"/>
      <c r="I20" s="67"/>
      <c r="J20" s="67"/>
      <c r="K20" s="78"/>
      <c r="L20" s="71"/>
      <c r="M20" s="67"/>
      <c r="N20" s="68"/>
    </row>
    <row r="21" spans="1:14" ht="13.5" customHeight="1" thickBot="1" x14ac:dyDescent="0.3">
      <c r="A21" s="69"/>
      <c r="B21" s="73">
        <v>12</v>
      </c>
      <c r="C21" s="93" t="s">
        <v>156</v>
      </c>
      <c r="D21" s="294">
        <v>1.3899999999999999E-2</v>
      </c>
      <c r="E21" s="295"/>
      <c r="F21" s="70"/>
      <c r="G21" s="94" t="s">
        <v>94</v>
      </c>
      <c r="H21" s="95"/>
      <c r="I21" s="95"/>
      <c r="J21" s="95"/>
      <c r="K21" s="96"/>
      <c r="L21" s="71"/>
      <c r="M21" s="67"/>
      <c r="N21" s="68"/>
    </row>
    <row r="22" spans="1:14" ht="13.5" customHeight="1" thickBot="1" x14ac:dyDescent="0.3">
      <c r="A22" s="69"/>
      <c r="B22" s="73">
        <v>13</v>
      </c>
      <c r="C22" s="97" t="s">
        <v>155</v>
      </c>
      <c r="D22" s="294">
        <v>2.0000000000000001E-4</v>
      </c>
      <c r="E22" s="295"/>
      <c r="F22" s="70"/>
      <c r="G22" s="98" t="s">
        <v>95</v>
      </c>
      <c r="H22" s="99"/>
      <c r="I22" s="99"/>
      <c r="J22" s="99"/>
      <c r="K22" s="100"/>
      <c r="L22" s="71"/>
      <c r="M22" s="67"/>
      <c r="N22" s="68"/>
    </row>
    <row r="23" spans="1:14" ht="13.5" customHeight="1" x14ac:dyDescent="0.25">
      <c r="A23" s="69"/>
      <c r="B23" s="73">
        <v>14</v>
      </c>
      <c r="C23" s="74" t="s">
        <v>154</v>
      </c>
      <c r="D23" s="294">
        <v>2.8E-3</v>
      </c>
      <c r="E23" s="295"/>
      <c r="F23" s="70"/>
      <c r="G23" s="101" t="s">
        <v>96</v>
      </c>
      <c r="H23" s="102"/>
      <c r="I23" s="103"/>
      <c r="J23" s="103"/>
      <c r="K23" s="104"/>
      <c r="L23" s="71"/>
      <c r="M23" s="67"/>
      <c r="N23" s="68"/>
    </row>
    <row r="24" spans="1:14" ht="13.5" customHeight="1" x14ac:dyDescent="0.25">
      <c r="A24" s="69"/>
      <c r="B24" s="73">
        <v>15</v>
      </c>
      <c r="C24" s="74" t="s">
        <v>153</v>
      </c>
      <c r="D24" s="294">
        <v>2.9999999999999997E-4</v>
      </c>
      <c r="E24" s="295"/>
      <c r="F24" s="105"/>
      <c r="G24" s="106"/>
      <c r="H24" s="106"/>
      <c r="I24" s="107"/>
      <c r="J24" s="107"/>
      <c r="K24" s="107"/>
      <c r="L24" s="67"/>
      <c r="M24" s="67"/>
      <c r="N24" s="68"/>
    </row>
    <row r="25" spans="1:14" ht="13.5" customHeight="1" thickBot="1" x14ac:dyDescent="0.3">
      <c r="A25" s="69"/>
      <c r="B25" s="280" t="s">
        <v>97</v>
      </c>
      <c r="C25" s="281"/>
      <c r="D25" s="108">
        <f>SUM(D18:D20)+SUM(D21:E24)</f>
        <v>0.21164444444444441</v>
      </c>
      <c r="E25" s="108">
        <f>SUM(E18:E20)+SUM(D21:E24)</f>
        <v>0.22932121212121212</v>
      </c>
      <c r="F25" s="109"/>
      <c r="G25" s="305" t="s">
        <v>114</v>
      </c>
      <c r="H25" s="306"/>
      <c r="I25" s="306"/>
      <c r="J25" s="306"/>
      <c r="K25" s="306"/>
      <c r="L25" s="67"/>
      <c r="M25" s="67"/>
      <c r="N25" s="68"/>
    </row>
    <row r="26" spans="1:14" ht="25.5" customHeight="1" x14ac:dyDescent="0.25">
      <c r="A26" s="69"/>
      <c r="B26" s="292" t="s">
        <v>98</v>
      </c>
      <c r="C26" s="293"/>
      <c r="D26" s="292" t="s">
        <v>49</v>
      </c>
      <c r="E26" s="293"/>
      <c r="F26" s="82"/>
      <c r="G26" s="307" t="s">
        <v>47</v>
      </c>
      <c r="H26" s="308"/>
      <c r="I26" s="309"/>
      <c r="J26" s="87" t="s">
        <v>112</v>
      </c>
      <c r="K26" s="88" t="s">
        <v>113</v>
      </c>
      <c r="L26" s="71"/>
      <c r="M26" s="67"/>
      <c r="N26" s="68"/>
    </row>
    <row r="27" spans="1:14" ht="12.75" customHeight="1" x14ac:dyDescent="0.25">
      <c r="A27" s="69"/>
      <c r="B27" s="73">
        <v>16</v>
      </c>
      <c r="C27" s="97" t="s">
        <v>115</v>
      </c>
      <c r="D27" s="279">
        <v>4.1999999999999997E-3</v>
      </c>
      <c r="E27" s="279"/>
      <c r="F27" s="70"/>
      <c r="G27" s="110" t="s">
        <v>78</v>
      </c>
      <c r="H27" s="111"/>
      <c r="I27" s="112"/>
      <c r="J27" s="113">
        <f>D15</f>
        <v>0.39800000000000008</v>
      </c>
      <c r="K27" s="113">
        <f>D15</f>
        <v>0.39800000000000008</v>
      </c>
      <c r="L27" s="71"/>
      <c r="M27" s="67"/>
      <c r="N27" s="68"/>
    </row>
    <row r="28" spans="1:14" ht="12.75" customHeight="1" x14ac:dyDescent="0.25">
      <c r="A28" s="69"/>
      <c r="B28" s="73">
        <v>17</v>
      </c>
      <c r="C28" s="97" t="s">
        <v>116</v>
      </c>
      <c r="D28" s="279">
        <v>4.0000000000000002E-4</v>
      </c>
      <c r="E28" s="279"/>
      <c r="F28" s="70"/>
      <c r="G28" s="120" t="s">
        <v>48</v>
      </c>
      <c r="H28" s="121"/>
      <c r="I28" s="122"/>
      <c r="J28" s="277" t="s">
        <v>49</v>
      </c>
      <c r="K28" s="278"/>
      <c r="L28" s="71"/>
      <c r="M28" s="67"/>
      <c r="N28" s="68"/>
    </row>
    <row r="29" spans="1:14" ht="12.75" customHeight="1" x14ac:dyDescent="0.25">
      <c r="A29" s="69"/>
      <c r="B29" s="73">
        <v>18</v>
      </c>
      <c r="C29" s="74" t="s">
        <v>117</v>
      </c>
      <c r="D29" s="279">
        <v>8.0000000000000004E-4</v>
      </c>
      <c r="E29" s="279"/>
      <c r="F29" s="70"/>
      <c r="G29" s="110" t="s">
        <v>118</v>
      </c>
      <c r="H29" s="111"/>
      <c r="I29" s="112"/>
      <c r="J29" s="113">
        <f>D18</f>
        <v>8.3333333333333329E-2</v>
      </c>
      <c r="K29" s="113">
        <f>E18</f>
        <v>9.0909090909090912E-2</v>
      </c>
      <c r="L29" s="71"/>
      <c r="M29" s="67"/>
      <c r="N29" s="68"/>
    </row>
    <row r="30" spans="1:14" ht="12.75" customHeight="1" x14ac:dyDescent="0.25">
      <c r="A30" s="69"/>
      <c r="B30" s="73">
        <v>19</v>
      </c>
      <c r="C30" s="74" t="s">
        <v>119</v>
      </c>
      <c r="D30" s="279">
        <v>2.8799999999999999E-2</v>
      </c>
      <c r="E30" s="279"/>
      <c r="F30" s="70"/>
      <c r="G30" s="110" t="s">
        <v>68</v>
      </c>
      <c r="H30" s="111"/>
      <c r="I30" s="112"/>
      <c r="J30" s="113">
        <f>D19</f>
        <v>8.3333333333333329E-2</v>
      </c>
      <c r="K30" s="113">
        <f>E19</f>
        <v>9.0909090909090912E-2</v>
      </c>
      <c r="L30" s="71"/>
      <c r="M30" s="67"/>
      <c r="N30" s="68"/>
    </row>
    <row r="31" spans="1:14" ht="13.5" customHeight="1" thickBot="1" x14ac:dyDescent="0.3">
      <c r="A31" s="69"/>
      <c r="B31" s="280" t="s">
        <v>99</v>
      </c>
      <c r="C31" s="281"/>
      <c r="D31" s="282">
        <f>SUM(D27:D30)</f>
        <v>3.4200000000000001E-2</v>
      </c>
      <c r="E31" s="282"/>
      <c r="F31" s="70"/>
      <c r="G31" s="283" t="s">
        <v>120</v>
      </c>
      <c r="H31" s="284"/>
      <c r="I31" s="285"/>
      <c r="J31" s="289">
        <f>SUM(J29:J30)</f>
        <v>0.16666666666666666</v>
      </c>
      <c r="K31" s="289">
        <f>SUM(K29:K30)</f>
        <v>0.18181818181818182</v>
      </c>
      <c r="L31" s="71"/>
      <c r="M31" s="67"/>
      <c r="N31" s="68"/>
    </row>
    <row r="32" spans="1:14" ht="12.75" customHeight="1" x14ac:dyDescent="0.25">
      <c r="A32" s="69"/>
      <c r="B32" s="292" t="s">
        <v>100</v>
      </c>
      <c r="C32" s="293"/>
      <c r="D32" s="292" t="s">
        <v>49</v>
      </c>
      <c r="E32" s="293"/>
      <c r="F32" s="70"/>
      <c r="G32" s="286"/>
      <c r="H32" s="287"/>
      <c r="I32" s="288"/>
      <c r="J32" s="290"/>
      <c r="K32" s="291"/>
      <c r="L32" s="71"/>
      <c r="M32" s="67"/>
      <c r="N32" s="68"/>
    </row>
    <row r="33" spans="1:14" ht="12.75" customHeight="1" x14ac:dyDescent="0.25">
      <c r="A33" s="69"/>
      <c r="B33" s="73">
        <v>20</v>
      </c>
      <c r="C33" s="97" t="s">
        <v>60</v>
      </c>
      <c r="D33" s="114">
        <f>D15*(D25-D20)</f>
        <v>7.3178933333333335E-2</v>
      </c>
      <c r="E33" s="114">
        <f>D15*(E25-E20)</f>
        <v>7.9209236363636373E-2</v>
      </c>
      <c r="F33" s="70"/>
      <c r="G33" s="110" t="s">
        <v>121</v>
      </c>
      <c r="H33" s="111"/>
      <c r="I33" s="112"/>
      <c r="J33" s="113">
        <f>J27*J31</f>
        <v>6.6333333333333341E-2</v>
      </c>
      <c r="K33" s="113">
        <f>K27*K31</f>
        <v>7.236363636363638E-2</v>
      </c>
      <c r="L33" s="71"/>
      <c r="M33" s="67"/>
      <c r="N33" s="68"/>
    </row>
    <row r="34" spans="1:14" ht="13.5" customHeight="1" thickBot="1" x14ac:dyDescent="0.3">
      <c r="A34" s="69"/>
      <c r="B34" s="280" t="s">
        <v>101</v>
      </c>
      <c r="C34" s="281"/>
      <c r="D34" s="115">
        <f>SUM(D33)</f>
        <v>7.3178933333333335E-2</v>
      </c>
      <c r="E34" s="115">
        <f>SUM(E33)</f>
        <v>7.9209236363636373E-2</v>
      </c>
      <c r="F34" s="70"/>
      <c r="G34" s="110" t="s">
        <v>122</v>
      </c>
      <c r="H34" s="111"/>
      <c r="I34" s="112"/>
      <c r="J34" s="113">
        <f>D20</f>
        <v>2.7777777777777776E-2</v>
      </c>
      <c r="K34" s="113">
        <f>E20</f>
        <v>3.03030303030303E-2</v>
      </c>
      <c r="L34" s="71"/>
      <c r="M34" s="67"/>
      <c r="N34" s="68"/>
    </row>
    <row r="35" spans="1:14" ht="24" customHeight="1" x14ac:dyDescent="0.25">
      <c r="A35" s="69"/>
      <c r="B35" s="296" t="s">
        <v>102</v>
      </c>
      <c r="C35" s="297"/>
      <c r="D35" s="123" t="s">
        <v>112</v>
      </c>
      <c r="E35" s="124" t="s">
        <v>113</v>
      </c>
      <c r="F35" s="70"/>
      <c r="G35" s="110" t="s">
        <v>123</v>
      </c>
      <c r="H35" s="111"/>
      <c r="I35" s="112"/>
      <c r="J35" s="113">
        <f>D30</f>
        <v>2.8799999999999999E-2</v>
      </c>
      <c r="K35" s="113">
        <f>D30</f>
        <v>2.8799999999999999E-2</v>
      </c>
      <c r="L35" s="71"/>
      <c r="M35" s="67"/>
      <c r="N35" s="68"/>
    </row>
    <row r="36" spans="1:14" ht="13.5" customHeight="1" x14ac:dyDescent="0.25">
      <c r="A36" s="69"/>
      <c r="B36" s="298"/>
      <c r="C36" s="299"/>
      <c r="D36" s="125">
        <f>(D15+D25+D31+D34)</f>
        <v>0.7170233777777778</v>
      </c>
      <c r="E36" s="125">
        <f>(D15+E25+D31+E34)</f>
        <v>0.74073044848484859</v>
      </c>
      <c r="F36" s="70"/>
      <c r="G36" s="126" t="s">
        <v>124</v>
      </c>
      <c r="H36" s="127"/>
      <c r="I36" s="128"/>
      <c r="J36" s="129">
        <f>SUM(J31:J35)</f>
        <v>0.28957777777777777</v>
      </c>
      <c r="K36" s="129">
        <f>SUM(K31:K35)</f>
        <v>0.31328484848484844</v>
      </c>
      <c r="L36" s="71"/>
      <c r="M36" s="67"/>
      <c r="N36" s="68"/>
    </row>
    <row r="37" spans="1:14" ht="12.75" customHeight="1" x14ac:dyDescent="0.25">
      <c r="A37" s="64"/>
      <c r="B37" s="116" t="s">
        <v>103</v>
      </c>
      <c r="C37" s="106"/>
      <c r="D37" s="106"/>
      <c r="E37" s="106"/>
      <c r="F37" s="65"/>
      <c r="G37" s="107"/>
      <c r="H37" s="107"/>
      <c r="I37" s="107"/>
      <c r="J37" s="107"/>
      <c r="K37" s="107"/>
      <c r="L37" s="67"/>
      <c r="M37" s="67"/>
      <c r="N37" s="68"/>
    </row>
    <row r="38" spans="1:14" ht="12.75" customHeight="1" x14ac:dyDescent="0.25">
      <c r="A38" s="64"/>
      <c r="B38" s="117" t="s">
        <v>104</v>
      </c>
      <c r="C38" s="65"/>
      <c r="D38" s="65"/>
      <c r="E38" s="65"/>
      <c r="F38" s="67"/>
      <c r="G38" s="67"/>
      <c r="H38" s="67"/>
      <c r="I38" s="67"/>
      <c r="J38" s="67"/>
      <c r="K38" s="67"/>
      <c r="L38" s="67"/>
      <c r="M38" s="67"/>
      <c r="N38" s="68"/>
    </row>
    <row r="39" spans="1:14" ht="12.75" customHeight="1" x14ac:dyDescent="0.25">
      <c r="A39" s="64"/>
      <c r="B39" s="117" t="s">
        <v>125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8"/>
    </row>
    <row r="40" spans="1:14" ht="12.75" customHeight="1" x14ac:dyDescent="0.25">
      <c r="A40" s="64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8"/>
    </row>
    <row r="41" spans="1:14" ht="12.75" customHeight="1" x14ac:dyDescent="0.25">
      <c r="A41" s="64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8"/>
    </row>
    <row r="42" spans="1:14" ht="12.75" customHeight="1" x14ac:dyDescent="0.25">
      <c r="A42" s="64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8"/>
    </row>
    <row r="43" spans="1:14" ht="12.75" customHeight="1" x14ac:dyDescent="0.25">
      <c r="A43" s="64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8"/>
    </row>
    <row r="44" spans="1:14" ht="12.75" customHeight="1" x14ac:dyDescent="0.25">
      <c r="A44" s="64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8"/>
    </row>
    <row r="45" spans="1:14" ht="13.5" customHeight="1" x14ac:dyDescent="0.25">
      <c r="A45" s="64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8"/>
    </row>
    <row r="46" spans="1:14" ht="12.75" customHeight="1" x14ac:dyDescent="0.25">
      <c r="A46" s="64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8"/>
    </row>
    <row r="47" spans="1:14" ht="12.75" customHeight="1" x14ac:dyDescent="0.25">
      <c r="A47" s="64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8"/>
    </row>
    <row r="48" spans="1:14" ht="12.75" customHeight="1" x14ac:dyDescent="0.25">
      <c r="A48" s="64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</row>
    <row r="49" spans="1:14" ht="12.75" customHeight="1" x14ac:dyDescent="0.25">
      <c r="A49" s="64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8"/>
    </row>
    <row r="50" spans="1:14" ht="12.75" customHeight="1" x14ac:dyDescent="0.25">
      <c r="A50" s="64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8"/>
    </row>
    <row r="51" spans="1:14" ht="12.75" customHeight="1" x14ac:dyDescent="0.25">
      <c r="A51" s="64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8"/>
    </row>
    <row r="52" spans="1:14" ht="12.75" customHeight="1" x14ac:dyDescent="0.25">
      <c r="A52" s="64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8"/>
    </row>
    <row r="53" spans="1:14" ht="12.75" customHeight="1" x14ac:dyDescent="0.25">
      <c r="A53" s="64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8"/>
    </row>
  </sheetData>
  <mergeCells count="51">
    <mergeCell ref="D21:E21"/>
    <mergeCell ref="D8:E8"/>
    <mergeCell ref="G8:H8"/>
    <mergeCell ref="B2:E2"/>
    <mergeCell ref="B3:E3"/>
    <mergeCell ref="G3:K3"/>
    <mergeCell ref="B4:B5"/>
    <mergeCell ref="C4:C5"/>
    <mergeCell ref="D4:E4"/>
    <mergeCell ref="G4:I5"/>
    <mergeCell ref="J4:J5"/>
    <mergeCell ref="K4:K5"/>
    <mergeCell ref="B6:C6"/>
    <mergeCell ref="D6:E6"/>
    <mergeCell ref="G6:I6"/>
    <mergeCell ref="D7:E7"/>
    <mergeCell ref="G7:H7"/>
    <mergeCell ref="D9:E9"/>
    <mergeCell ref="D10:E10"/>
    <mergeCell ref="D11:E11"/>
    <mergeCell ref="D12:E12"/>
    <mergeCell ref="D13:E13"/>
    <mergeCell ref="D27:E27"/>
    <mergeCell ref="G14:I14"/>
    <mergeCell ref="B15:C15"/>
    <mergeCell ref="D15:E15"/>
    <mergeCell ref="G15:H15"/>
    <mergeCell ref="B16:C16"/>
    <mergeCell ref="D16:E16"/>
    <mergeCell ref="D14:E14"/>
    <mergeCell ref="B25:C25"/>
    <mergeCell ref="G25:K25"/>
    <mergeCell ref="B26:C26"/>
    <mergeCell ref="D26:E26"/>
    <mergeCell ref="G26:I26"/>
    <mergeCell ref="D22:E22"/>
    <mergeCell ref="D23:E23"/>
    <mergeCell ref="D24:E24"/>
    <mergeCell ref="D32:E32"/>
    <mergeCell ref="B34:C34"/>
    <mergeCell ref="B35:C36"/>
    <mergeCell ref="D28:E28"/>
    <mergeCell ref="J28:K28"/>
    <mergeCell ref="D29:E29"/>
    <mergeCell ref="D30:E30"/>
    <mergeCell ref="B31:C31"/>
    <mergeCell ref="D31:E31"/>
    <mergeCell ref="G31:I32"/>
    <mergeCell ref="J31:J32"/>
    <mergeCell ref="K31:K32"/>
    <mergeCell ref="B32:C32"/>
  </mergeCells>
  <pageMargins left="0.78740200000000005" right="0.78740200000000005" top="0.98425200000000002" bottom="0.98425200000000002" header="0.51181100000000002" footer="0.51181100000000002"/>
  <pageSetup scale="10" orientation="landscape" r:id="rId1"/>
  <headerFooter>
    <oddFooter>&amp;C&amp;"Helvetica Neue,Regular"&amp;12&amp;K000000&amp;P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  <pageSetUpPr fitToPage="1"/>
  </sheetPr>
  <dimension ref="A2:R36"/>
  <sheetViews>
    <sheetView showGridLines="0" zoomScale="90" zoomScaleNormal="90" zoomScaleSheetLayoutView="80" zoomScalePageLayoutView="70" workbookViewId="0">
      <selection activeCell="B14" sqref="B14"/>
    </sheetView>
  </sheetViews>
  <sheetFormatPr defaultRowHeight="15" x14ac:dyDescent="0.2"/>
  <cols>
    <col min="1" max="1" width="9.140625" style="46"/>
    <col min="2" max="2" width="31.5703125" style="46" customWidth="1"/>
    <col min="3" max="3" width="17" style="46" customWidth="1"/>
    <col min="4" max="4" width="16.42578125" style="46" customWidth="1"/>
    <col min="5" max="5" width="14.5703125" style="46" customWidth="1"/>
    <col min="6" max="6" width="16.7109375" style="46" customWidth="1"/>
    <col min="7" max="7" width="16" style="46" customWidth="1"/>
    <col min="8" max="8" width="16.85546875" style="46" customWidth="1"/>
    <col min="9" max="9" width="17.42578125" style="46" customWidth="1"/>
    <col min="10" max="10" width="19.85546875" style="46" customWidth="1"/>
    <col min="11" max="11" width="15.85546875" style="46" customWidth="1"/>
    <col min="12" max="12" width="16.85546875" style="46" customWidth="1"/>
    <col min="13" max="13" width="22.5703125" style="46" customWidth="1"/>
    <col min="14" max="14" width="17.7109375" style="46" customWidth="1"/>
    <col min="15" max="15" width="20.7109375" style="46" customWidth="1"/>
    <col min="16" max="16" width="3.42578125" style="46" customWidth="1"/>
    <col min="17" max="17" width="23.28515625" style="46" customWidth="1"/>
    <col min="18" max="18" width="25.140625" style="46" customWidth="1"/>
    <col min="19" max="19" width="9.140625" style="46"/>
    <col min="20" max="20" width="21.140625" style="46" bestFit="1" customWidth="1"/>
    <col min="21" max="16384" width="9.140625" style="46"/>
  </cols>
  <sheetData>
    <row r="2" spans="1:18" ht="15.75" thickBot="1" x14ac:dyDescent="0.25"/>
    <row r="3" spans="1:18" ht="16.5" customHeight="1" thickTop="1" x14ac:dyDescent="0.2">
      <c r="A3" s="47"/>
      <c r="B3" s="334" t="s">
        <v>61</v>
      </c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6"/>
    </row>
    <row r="4" spans="1:18" ht="15" customHeight="1" x14ac:dyDescent="0.2">
      <c r="A4" s="47"/>
      <c r="B4" s="337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9"/>
      <c r="P4" s="48"/>
      <c r="Q4" s="48"/>
      <c r="R4" s="48"/>
    </row>
    <row r="5" spans="1:18" ht="27.75" customHeight="1" x14ac:dyDescent="0.2">
      <c r="B5" s="340" t="s">
        <v>62</v>
      </c>
      <c r="C5" s="341" t="s">
        <v>63</v>
      </c>
      <c r="D5" s="341"/>
      <c r="E5" s="341"/>
      <c r="F5" s="341"/>
      <c r="G5" s="341"/>
      <c r="H5" s="341"/>
      <c r="I5" s="341" t="s">
        <v>64</v>
      </c>
      <c r="J5" s="341"/>
      <c r="K5" s="341"/>
      <c r="L5" s="333" t="s">
        <v>4</v>
      </c>
      <c r="M5" s="333" t="s">
        <v>65</v>
      </c>
      <c r="N5" s="333" t="s">
        <v>66</v>
      </c>
      <c r="O5" s="342" t="s">
        <v>147</v>
      </c>
      <c r="P5" s="49"/>
    </row>
    <row r="6" spans="1:18" ht="101.25" customHeight="1" x14ac:dyDescent="0.2">
      <c r="B6" s="340"/>
      <c r="C6" s="333" t="s">
        <v>7</v>
      </c>
      <c r="D6" s="333" t="s">
        <v>67</v>
      </c>
      <c r="E6" s="333" t="s">
        <v>68</v>
      </c>
      <c r="F6" s="333" t="s">
        <v>69</v>
      </c>
      <c r="G6" s="333" t="s">
        <v>70</v>
      </c>
      <c r="H6" s="333" t="s">
        <v>71</v>
      </c>
      <c r="I6" s="333" t="s">
        <v>72</v>
      </c>
      <c r="J6" s="333" t="s">
        <v>73</v>
      </c>
      <c r="K6" s="333" t="s">
        <v>74</v>
      </c>
      <c r="L6" s="333"/>
      <c r="M6" s="333"/>
      <c r="N6" s="333"/>
      <c r="O6" s="342"/>
      <c r="P6" s="49"/>
    </row>
    <row r="7" spans="1:18" ht="18" customHeight="1" x14ac:dyDescent="0.2">
      <c r="B7" s="340"/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42"/>
      <c r="P7" s="49"/>
    </row>
    <row r="8" spans="1:18" ht="50.25" customHeight="1" x14ac:dyDescent="0.2">
      <c r="B8" s="340"/>
      <c r="C8" s="333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42"/>
      <c r="P8" s="49"/>
    </row>
    <row r="9" spans="1:18" ht="42.75" customHeight="1" x14ac:dyDescent="0.2">
      <c r="B9" s="340"/>
      <c r="C9" s="333"/>
      <c r="D9" s="158">
        <v>8.3299999999999999E-2</v>
      </c>
      <c r="E9" s="158">
        <v>8.3299999999999999E-2</v>
      </c>
      <c r="F9" s="158">
        <v>2.7799999999999998E-2</v>
      </c>
      <c r="G9" s="158">
        <f>'Encargos Sociais'!D15</f>
        <v>0.39800000000000008</v>
      </c>
      <c r="H9" s="333"/>
      <c r="I9" s="158" t="s">
        <v>18</v>
      </c>
      <c r="J9" s="158" t="s">
        <v>18</v>
      </c>
      <c r="K9" s="333"/>
      <c r="L9" s="333"/>
      <c r="M9" s="159">
        <f>'Encargos Sociais'!K14</f>
        <v>0.31020408163265345</v>
      </c>
      <c r="N9" s="333"/>
      <c r="O9" s="342"/>
    </row>
    <row r="10" spans="1:18" ht="33" customHeight="1" thickBot="1" x14ac:dyDescent="0.25">
      <c r="A10" s="50"/>
      <c r="B10" s="168" t="str">
        <f>'0105 A 300423'!A14</f>
        <v>Técnico em telecomunicações</v>
      </c>
      <c r="C10" s="160">
        <f>'0105 A 300423'!E14</f>
        <v>2564.61</v>
      </c>
      <c r="D10" s="162">
        <f>C10*$D$9</f>
        <v>213.632013</v>
      </c>
      <c r="E10" s="162">
        <f>C10*$E$9</f>
        <v>213.632013</v>
      </c>
      <c r="F10" s="160">
        <f>$F$9*C10</f>
        <v>71.296158000000005</v>
      </c>
      <c r="G10" s="160">
        <f>($G$9*D10)+(E10*$G$9)</f>
        <v>170.05108234800002</v>
      </c>
      <c r="H10" s="160">
        <f>C10+D10+F10+G10+E10</f>
        <v>3233.221266348</v>
      </c>
      <c r="I10" s="160">
        <f>'AA AT HORAS'!K49</f>
        <v>714.58333333333337</v>
      </c>
      <c r="J10" s="160">
        <f>'AA AT HORAS'!M40</f>
        <v>70.706733333333332</v>
      </c>
      <c r="K10" s="160">
        <f>I10+J10</f>
        <v>785.29006666666669</v>
      </c>
      <c r="L10" s="160">
        <f>H10+K10</f>
        <v>4018.5113330146669</v>
      </c>
      <c r="M10" s="160">
        <f>L10*$M$9</f>
        <v>1246.5586175882247</v>
      </c>
      <c r="N10" s="160">
        <f>L10+M10</f>
        <v>5265.0699506028914</v>
      </c>
      <c r="O10" s="161">
        <f>N10/200</f>
        <v>26.325349753014457</v>
      </c>
      <c r="P10" s="51"/>
    </row>
    <row r="11" spans="1:18" ht="35.25" customHeight="1" thickTop="1" thickBot="1" x14ac:dyDescent="0.25">
      <c r="A11" s="50"/>
      <c r="B11" s="168" t="str">
        <f>'0105 A 300423'!A15</f>
        <v xml:space="preserve">Operador de Telefonia </v>
      </c>
      <c r="C11" s="160">
        <f>'0105 A 300423'!E15</f>
        <v>2028.65</v>
      </c>
      <c r="D11" s="162">
        <f>C11*$D$9</f>
        <v>168.98654500000001</v>
      </c>
      <c r="E11" s="162">
        <f>C11*$E$9</f>
        <v>168.98654500000001</v>
      </c>
      <c r="F11" s="160">
        <f>$F$9*C11</f>
        <v>56.396470000000001</v>
      </c>
      <c r="G11" s="160">
        <f>($G$9*D11)+(E11*$G$9)</f>
        <v>134.51328982000004</v>
      </c>
      <c r="H11" s="160">
        <f>C11+D11+F11+G11+E11</f>
        <v>2557.5328498200006</v>
      </c>
      <c r="I11" s="160">
        <f>'AA AT HORAS'!K50</f>
        <v>775.83333333333337</v>
      </c>
      <c r="J11" s="160">
        <f>'AA AT HORAS'!M42</f>
        <v>102.86433333333332</v>
      </c>
      <c r="K11" s="160">
        <f>I11+J11</f>
        <v>878.69766666666669</v>
      </c>
      <c r="L11" s="160">
        <f>H11+K11</f>
        <v>3436.2305164866675</v>
      </c>
      <c r="M11" s="160">
        <f>L11*$M$9</f>
        <v>1065.932731644845</v>
      </c>
      <c r="N11" s="160">
        <f>L11+M11</f>
        <v>4502.1632481315128</v>
      </c>
      <c r="O11" s="161">
        <f>N11/150</f>
        <v>30.014421654210086</v>
      </c>
      <c r="P11" s="51"/>
    </row>
    <row r="12" spans="1:18" ht="15.75" thickTop="1" x14ac:dyDescent="0.2">
      <c r="R12" s="51"/>
    </row>
    <row r="13" spans="1:18" ht="15.75" customHeight="1" x14ac:dyDescent="0.2"/>
    <row r="14" spans="1:18" ht="15" customHeight="1" x14ac:dyDescent="0.2"/>
    <row r="15" spans="1:18" ht="15" customHeight="1" x14ac:dyDescent="0.2"/>
    <row r="16" spans="1:18" ht="15" customHeight="1" x14ac:dyDescent="0.2"/>
    <row r="17" ht="15" customHeight="1" x14ac:dyDescent="0.2"/>
    <row r="19" ht="15.75" customHeight="1" x14ac:dyDescent="0.2"/>
    <row r="20" ht="15.75" customHeight="1" x14ac:dyDescent="0.2"/>
    <row r="21" ht="15.75" customHeight="1" x14ac:dyDescent="0.2"/>
    <row r="22" ht="15" customHeight="1" x14ac:dyDescent="0.2"/>
    <row r="23" ht="15" customHeight="1" x14ac:dyDescent="0.2"/>
    <row r="24" ht="36" customHeight="1" x14ac:dyDescent="0.2"/>
    <row r="25" ht="39.75" customHeight="1" x14ac:dyDescent="0.2"/>
    <row r="27" ht="42" customHeight="1" x14ac:dyDescent="0.2"/>
    <row r="28" ht="56.25" customHeight="1" x14ac:dyDescent="0.2"/>
    <row r="29" ht="45.75" customHeight="1" x14ac:dyDescent="0.2"/>
    <row r="30" ht="38.25" customHeight="1" x14ac:dyDescent="0.2"/>
    <row r="31" ht="41.25" customHeight="1" x14ac:dyDescent="0.2"/>
    <row r="32" ht="34.5" customHeight="1" x14ac:dyDescent="0.2"/>
    <row r="34" ht="36.75" customHeight="1" x14ac:dyDescent="0.2"/>
    <row r="35" ht="20.25" customHeight="1" x14ac:dyDescent="0.2"/>
    <row r="36" ht="24" customHeight="1" x14ac:dyDescent="0.2"/>
  </sheetData>
  <mergeCells count="17">
    <mergeCell ref="F6:F8"/>
    <mergeCell ref="G6:G8"/>
    <mergeCell ref="H6:H9"/>
    <mergeCell ref="I6:I8"/>
    <mergeCell ref="J6:J8"/>
    <mergeCell ref="B3:O4"/>
    <mergeCell ref="B5:B9"/>
    <mergeCell ref="C5:H5"/>
    <mergeCell ref="I5:K5"/>
    <mergeCell ref="L5:L9"/>
    <mergeCell ref="M5:M8"/>
    <mergeCell ref="N5:N9"/>
    <mergeCell ref="O5:O9"/>
    <mergeCell ref="C6:C9"/>
    <mergeCell ref="D6:D8"/>
    <mergeCell ref="K6:K9"/>
    <mergeCell ref="E6:E8"/>
  </mergeCells>
  <pageMargins left="0.51181102362204722" right="0.51181102362204722" top="0.78740157480314965" bottom="0.78740157480314965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0105 A 300423</vt:lpstr>
      <vt:lpstr>AA AT HORAS</vt:lpstr>
      <vt:lpstr>Encargos Sociais</vt:lpstr>
      <vt:lpstr>Cálculo Cobertura</vt:lpstr>
      <vt:lpstr>'0105 A 300423'!Area_de_impressao</vt:lpstr>
      <vt:lpstr>'AA AT HORAS'!Area_de_impressao</vt:lpstr>
      <vt:lpstr>'0105 A 300423'!Print_Area</vt:lpstr>
      <vt:lpstr>'AA AT HORAS'!Print_Area</vt:lpstr>
      <vt:lpstr>'Cálculo Cobertura'!Print_Area</vt:lpstr>
    </vt:vector>
  </TitlesOfParts>
  <Company>Supremo Tribunal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Marcello dos Santos Lopes</cp:lastModifiedBy>
  <cp:lastPrinted>2022-03-07T19:02:05Z</cp:lastPrinted>
  <dcterms:created xsi:type="dcterms:W3CDTF">2021-09-20T16:50:59Z</dcterms:created>
  <dcterms:modified xsi:type="dcterms:W3CDTF">2022-03-14T20:38:42Z</dcterms:modified>
</cp:coreProperties>
</file>