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LICITAÇÕES 2022\PROCESSOS ELETRÔNICOS\PRE 18 - 002734-21 -  Contratação de serviços de áudiovisual\03 PLANILHA\"/>
    </mc:Choice>
  </mc:AlternateContent>
  <xr:revisionPtr revIDLastSave="0" documentId="8_{0687625E-C5A2-4DAA-8747-3F26A1C6FEFA}" xr6:coauthVersionLast="47" xr6:coauthVersionMax="47" xr10:uidLastSave="{00000000-0000-0000-0000-000000000000}"/>
  <bookViews>
    <workbookView xWindow="-120" yWindow="-120" windowWidth="29040" windowHeight="15840" tabRatio="817" firstSheet="2" activeTab="2" xr2:uid="{00000000-000D-0000-FFFF-FFFF00000000}"/>
  </bookViews>
  <sheets>
    <sheet name="ANEXO I" sheetId="32" state="hidden" r:id="rId1"/>
    <sheet name="ANEXO II" sheetId="35" state="hidden" r:id="rId2"/>
    <sheet name="Planilha de formação de preços" sheetId="36" r:id="rId3"/>
    <sheet name="ENCARGOS SOCIAIS" sheetId="43" r:id="rId4"/>
    <sheet name="Horas VT, VR" sheetId="37" r:id="rId5"/>
    <sheet name="Ferramentas Individuais" sheetId="39" r:id="rId6"/>
    <sheet name="Uniforme" sheetId="41" r:id="rId7"/>
    <sheet name="Cálculo Cobertura" sheetId="45" r:id="rId8"/>
  </sheets>
  <definedNames>
    <definedName name="_xlnm.Print_Area" localSheetId="0">'ANEXO I'!$A$1:$W$23</definedName>
    <definedName name="_xlnm.Print_Area" localSheetId="3">'ENCARGOS SOCIAIS'!$A$1:$J$44</definedName>
    <definedName name="_xlnm.Print_Area" localSheetId="5">'Ferramentas Individuais'!$B$1:$J$19</definedName>
    <definedName name="_xlnm.Print_Area" localSheetId="2">'Planilha de formação de preços'!$B$1:$U$28</definedName>
    <definedName name="_xlnm.Print_Titles" localSheetId="5">'Ferramentas Individuais'!$1:$4</definedName>
  </definedNames>
  <calcPr calcId="191028" fullPrecision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6" i="43" l="1"/>
  <c r="C26" i="43"/>
  <c r="H14" i="43"/>
  <c r="H7" i="43"/>
  <c r="H9" i="43"/>
  <c r="H10" i="43"/>
  <c r="H11" i="43"/>
  <c r="H12" i="43"/>
  <c r="H13" i="43"/>
  <c r="H15" i="43"/>
  <c r="R24" i="36"/>
  <c r="Q12" i="36"/>
  <c r="P22" i="36"/>
  <c r="Q22" i="36"/>
  <c r="S22" i="36"/>
  <c r="R22" i="36"/>
  <c r="P18" i="36"/>
  <c r="R18" i="36"/>
  <c r="S18" i="36"/>
  <c r="R14" i="36"/>
  <c r="S14" i="36"/>
  <c r="P16" i="36"/>
  <c r="N7" i="37"/>
  <c r="N8" i="37"/>
  <c r="N9" i="37"/>
  <c r="H26" i="37"/>
  <c r="H27" i="37"/>
  <c r="H28" i="37"/>
  <c r="H25" i="37"/>
  <c r="R16" i="36"/>
  <c r="S16" i="36"/>
  <c r="G5" i="39"/>
  <c r="J5" i="39"/>
  <c r="G6" i="39"/>
  <c r="J6" i="39"/>
  <c r="G7" i="39"/>
  <c r="J7" i="39"/>
  <c r="G8" i="39"/>
  <c r="J8" i="39"/>
  <c r="G9" i="39"/>
  <c r="J9" i="39"/>
  <c r="G10" i="39"/>
  <c r="J10" i="39"/>
  <c r="G11" i="39"/>
  <c r="J11" i="39"/>
  <c r="G12" i="39"/>
  <c r="J12" i="39"/>
  <c r="G13" i="39"/>
  <c r="J13" i="39"/>
  <c r="G14" i="39"/>
  <c r="J14" i="39"/>
  <c r="G15" i="39"/>
  <c r="J15" i="39"/>
  <c r="G16" i="39"/>
  <c r="J16" i="39"/>
  <c r="G17" i="39"/>
  <c r="J17" i="39"/>
  <c r="J18" i="39"/>
  <c r="S20" i="36"/>
  <c r="R20" i="36"/>
  <c r="J19" i="39"/>
  <c r="D17" i="37"/>
  <c r="C17" i="37"/>
  <c r="C18" i="37"/>
  <c r="E33" i="37"/>
  <c r="E26" i="37"/>
  <c r="E34" i="37"/>
  <c r="E27" i="37"/>
  <c r="E35" i="37"/>
  <c r="E28" i="37"/>
  <c r="N6" i="37"/>
  <c r="E32" i="37"/>
  <c r="E25" i="37"/>
  <c r="E21" i="41"/>
  <c r="E15" i="41"/>
  <c r="E16" i="41"/>
  <c r="E17" i="41"/>
  <c r="E18" i="41"/>
  <c r="E19" i="41"/>
  <c r="E14" i="41"/>
  <c r="E10" i="41"/>
  <c r="E4" i="41"/>
  <c r="E5" i="41"/>
  <c r="E6" i="41"/>
  <c r="E7" i="41"/>
  <c r="E8" i="41"/>
  <c r="E3" i="41"/>
  <c r="C36" i="43"/>
  <c r="C37" i="43"/>
  <c r="C40" i="43"/>
  <c r="H7" i="36"/>
  <c r="D36" i="43"/>
  <c r="D37" i="43"/>
  <c r="D40" i="43"/>
  <c r="E20" i="41"/>
  <c r="I19" i="37"/>
  <c r="H19" i="37"/>
  <c r="M7" i="37"/>
  <c r="M8" i="37"/>
  <c r="M9" i="37"/>
  <c r="M6" i="37"/>
  <c r="G9" i="36"/>
  <c r="D13" i="45"/>
  <c r="G10" i="36"/>
  <c r="D14" i="45"/>
  <c r="G11" i="36"/>
  <c r="D15" i="45"/>
  <c r="G8" i="36"/>
  <c r="D12" i="45"/>
  <c r="I25" i="43"/>
  <c r="I30" i="43"/>
  <c r="J25" i="43"/>
  <c r="J30" i="43"/>
  <c r="N7" i="36"/>
  <c r="G14" i="43"/>
  <c r="C14" i="43"/>
  <c r="C16" i="43"/>
  <c r="G13" i="43"/>
  <c r="G10" i="43"/>
  <c r="G9" i="43"/>
  <c r="G11" i="43"/>
  <c r="C25" i="37"/>
  <c r="D25" i="37"/>
  <c r="C26" i="37"/>
  <c r="D26" i="37"/>
  <c r="C27" i="37"/>
  <c r="D27" i="37"/>
  <c r="C28" i="37"/>
  <c r="D28" i="37"/>
  <c r="B26" i="37"/>
  <c r="B33" i="37"/>
  <c r="B27" i="37"/>
  <c r="B34" i="37"/>
  <c r="B28" i="37"/>
  <c r="B35" i="37"/>
  <c r="B25" i="37"/>
  <c r="B32" i="37"/>
  <c r="S11" i="32"/>
  <c r="S10" i="32"/>
  <c r="S9" i="32"/>
  <c r="S8" i="32"/>
  <c r="D8" i="32"/>
  <c r="D11" i="32"/>
  <c r="D10" i="32"/>
  <c r="F10" i="32"/>
  <c r="D9" i="32"/>
  <c r="F9" i="32"/>
  <c r="G9" i="32"/>
  <c r="U12" i="32"/>
  <c r="V14" i="32"/>
  <c r="W14" i="32"/>
  <c r="V15" i="32"/>
  <c r="W17" i="32"/>
  <c r="V18" i="32"/>
  <c r="V19" i="32"/>
  <c r="W13" i="32"/>
  <c r="K8" i="32"/>
  <c r="K9" i="32"/>
  <c r="K10" i="32"/>
  <c r="K11" i="32"/>
  <c r="M10" i="32"/>
  <c r="M9" i="32"/>
  <c r="M11" i="32"/>
  <c r="W16" i="32"/>
  <c r="W19" i="32"/>
  <c r="G10" i="32"/>
  <c r="H10" i="32"/>
  <c r="P7" i="32"/>
  <c r="F11" i="32"/>
  <c r="G11" i="32"/>
  <c r="H11" i="32"/>
  <c r="L11" i="32"/>
  <c r="L10" i="32"/>
  <c r="N10" i="32"/>
  <c r="L9" i="32"/>
  <c r="N9" i="32"/>
  <c r="L8" i="32"/>
  <c r="N8" i="32"/>
  <c r="N12" i="32"/>
  <c r="O10" i="32"/>
  <c r="H9" i="32"/>
  <c r="O9" i="32"/>
  <c r="C33" i="43"/>
  <c r="E9" i="41"/>
  <c r="N11" i="32"/>
  <c r="O11" i="32"/>
  <c r="E8" i="32"/>
  <c r="F8" i="32"/>
  <c r="P11" i="32"/>
  <c r="Q11" i="32"/>
  <c r="P9" i="32"/>
  <c r="Q9" i="32"/>
  <c r="G8" i="32"/>
  <c r="H8" i="32"/>
  <c r="P10" i="32"/>
  <c r="Q10" i="32"/>
  <c r="R9" i="32"/>
  <c r="T9" i="32"/>
  <c r="V9" i="32"/>
  <c r="W9" i="32"/>
  <c r="V10" i="32"/>
  <c r="W10" i="32"/>
  <c r="R10" i="32"/>
  <c r="T10" i="32"/>
  <c r="H12" i="32"/>
  <c r="O8" i="32"/>
  <c r="R11" i="32"/>
  <c r="T11" i="32"/>
  <c r="V11" i="32"/>
  <c r="W11" i="32"/>
  <c r="O12" i="32"/>
  <c r="P8" i="32"/>
  <c r="Q8" i="32"/>
  <c r="V8" i="32"/>
  <c r="R8" i="32"/>
  <c r="T8" i="32"/>
  <c r="W8" i="32"/>
  <c r="V12" i="32"/>
  <c r="V20" i="32"/>
  <c r="W12" i="32"/>
  <c r="W20" i="32"/>
  <c r="G15" i="45"/>
  <c r="E15" i="45"/>
  <c r="F15" i="45"/>
  <c r="G14" i="45"/>
  <c r="F14" i="45"/>
  <c r="E14" i="45"/>
  <c r="H14" i="45"/>
  <c r="I14" i="45"/>
  <c r="E13" i="45"/>
  <c r="G13" i="45"/>
  <c r="F13" i="45"/>
  <c r="G12" i="45"/>
  <c r="E12" i="45"/>
  <c r="F12" i="45"/>
  <c r="F25" i="37"/>
  <c r="G25" i="37"/>
  <c r="G7" i="43"/>
  <c r="G12" i="43"/>
  <c r="G15" i="43"/>
  <c r="O7" i="37"/>
  <c r="F34" i="37"/>
  <c r="F26" i="37"/>
  <c r="G26" i="37"/>
  <c r="O8" i="37"/>
  <c r="F33" i="37"/>
  <c r="F27" i="37"/>
  <c r="G27" i="37"/>
  <c r="O9" i="37"/>
  <c r="F32" i="37"/>
  <c r="F28" i="37"/>
  <c r="G28" i="37"/>
  <c r="F35" i="37"/>
  <c r="O6" i="37"/>
  <c r="H15" i="45"/>
  <c r="I15" i="45"/>
  <c r="H13" i="45"/>
  <c r="I13" i="45"/>
  <c r="H12" i="45"/>
  <c r="I12" i="45"/>
  <c r="I27" i="37"/>
  <c r="G34" i="37"/>
  <c r="H34" i="37"/>
  <c r="I25" i="37"/>
  <c r="G32" i="37"/>
  <c r="H32" i="37"/>
  <c r="S25" i="36"/>
  <c r="R25" i="36"/>
  <c r="H11" i="36"/>
  <c r="I11" i="36"/>
  <c r="H9" i="36"/>
  <c r="I9" i="36"/>
  <c r="H10" i="36"/>
  <c r="I10" i="36"/>
  <c r="H8" i="36"/>
  <c r="I8" i="36"/>
  <c r="I28" i="37"/>
  <c r="G35" i="37"/>
  <c r="H35" i="37"/>
  <c r="I26" i="37"/>
  <c r="G33" i="37"/>
  <c r="H33" i="37"/>
  <c r="P6" i="37"/>
  <c r="J8" i="36"/>
  <c r="J12" i="45"/>
  <c r="P9" i="37"/>
  <c r="J11" i="36"/>
  <c r="J15" i="45"/>
  <c r="P7" i="37"/>
  <c r="J9" i="36"/>
  <c r="J13" i="45"/>
  <c r="P8" i="37"/>
  <c r="J10" i="36"/>
  <c r="J14" i="45"/>
  <c r="I12" i="36"/>
  <c r="I35" i="37"/>
  <c r="K11" i="36"/>
  <c r="I32" i="37"/>
  <c r="K8" i="36"/>
  <c r="I34" i="37"/>
  <c r="K10" i="36"/>
  <c r="I33" i="37"/>
  <c r="K9" i="36"/>
  <c r="L9" i="36"/>
  <c r="M9" i="36"/>
  <c r="N9" i="36"/>
  <c r="O9" i="36"/>
  <c r="P9" i="36"/>
  <c r="K13" i="45"/>
  <c r="L13" i="45"/>
  <c r="M13" i="45"/>
  <c r="N13" i="45"/>
  <c r="O13" i="45"/>
  <c r="L10" i="36"/>
  <c r="M10" i="36"/>
  <c r="N10" i="36"/>
  <c r="O10" i="36"/>
  <c r="M18" i="37"/>
  <c r="O18" i="37"/>
  <c r="K14" i="45"/>
  <c r="L14" i="45"/>
  <c r="M14" i="45"/>
  <c r="L8" i="36"/>
  <c r="M8" i="36"/>
  <c r="N8" i="36"/>
  <c r="K12" i="45"/>
  <c r="L12" i="45"/>
  <c r="M12" i="45"/>
  <c r="L11" i="36"/>
  <c r="M11" i="36"/>
  <c r="N11" i="36"/>
  <c r="O11" i="36"/>
  <c r="M19" i="37"/>
  <c r="O19" i="37"/>
  <c r="K15" i="45"/>
  <c r="L15" i="45"/>
  <c r="M15" i="45"/>
  <c r="M17" i="37"/>
  <c r="O17" i="37"/>
  <c r="P11" i="36"/>
  <c r="P10" i="36"/>
  <c r="R10" i="36"/>
  <c r="S10" i="36"/>
  <c r="R11" i="36"/>
  <c r="S11" i="36"/>
  <c r="O8" i="36"/>
  <c r="M16" i="37"/>
  <c r="O16" i="37"/>
  <c r="R9" i="36"/>
  <c r="S9" i="36"/>
  <c r="N15" i="45"/>
  <c r="O15" i="45"/>
  <c r="N14" i="45"/>
  <c r="O14" i="45"/>
  <c r="L12" i="36"/>
  <c r="M12" i="36"/>
  <c r="N12" i="45"/>
  <c r="O12" i="45"/>
  <c r="Q13" i="45"/>
  <c r="P13" i="45"/>
  <c r="P8" i="36"/>
  <c r="Q12" i="45"/>
  <c r="P12" i="45"/>
  <c r="Q14" i="45"/>
  <c r="P14" i="45"/>
  <c r="Q15" i="45"/>
  <c r="P15" i="45"/>
  <c r="R8" i="36"/>
  <c r="R12" i="36"/>
  <c r="R26" i="36"/>
  <c r="S8" i="36"/>
  <c r="S12" i="36"/>
  <c r="S26" i="36"/>
</calcChain>
</file>

<file path=xl/sharedStrings.xml><?xml version="1.0" encoding="utf-8"?>
<sst xmlns="http://schemas.openxmlformats.org/spreadsheetml/2006/main" count="404" uniqueCount="265">
  <si>
    <t>ANEXO I DO QUINTO TERMO ADITIVO AO CONTRATO Nº 83/2011 DE PRESTAÇÃO DE SERVIÇOS DE APOIO ADMINISTRATIVO NAS ÁREAS DE OPERAÇÃO E MANUTENÇÃO CORRETIVA E PREVENTIVA EM EQUIPAMENTOS DE ÁUDIO E VÍDEO, QUE ENTRE SI CELEBRAM A UNIÃO, POR INTERMÉDIO DO SUPREMO TRIBUNAL FEDERAL, E A EMPRESA JME SERVIÇOS INTEGRADOS E EQUIPAMENTOS LTDA ME. (Pregão Presencial Nº 113/2011 – Processo 346.371).</t>
  </si>
  <si>
    <t>PLANILHA ESTIMATIVA DE CUSTOS - VIGÊNCIA DE 01 DE OUTUBRO DE 2014 A 30 DE NOVEMBRO DE 2014.</t>
  </si>
  <si>
    <t>Posto de Trabalho</t>
  </si>
  <si>
    <t>Carga Horária do posto de trabalho</t>
  </si>
  <si>
    <t>MONTANTE "A"</t>
  </si>
  <si>
    <r>
      <t xml:space="preserve">Somatório
Montantes
</t>
    </r>
    <r>
      <rPr>
        <b/>
        <sz val="12"/>
        <rFont val="Arial"/>
        <family val="2"/>
      </rPr>
      <t>"A" e "B"</t>
    </r>
  </si>
  <si>
    <r>
      <t>BDI</t>
    </r>
    <r>
      <rPr>
        <sz val="12"/>
        <rFont val="Arial"/>
        <family val="2"/>
      </rPr>
      <t xml:space="preserve">
Calculado sobre o somatório dos Montantes
</t>
    </r>
    <r>
      <rPr>
        <b/>
        <sz val="12"/>
        <rFont val="Arial"/>
        <family val="2"/>
      </rPr>
      <t>"A" e "B"</t>
    </r>
  </si>
  <si>
    <t>Total unitário mensal do posto de trabalho</t>
  </si>
  <si>
    <t>Total unitário anual do posto de trabalho</t>
  </si>
  <si>
    <t>Quantidade de horas anuais</t>
  </si>
  <si>
    <t>Valor da hora</t>
  </si>
  <si>
    <t>Quantidade de profissionais por posto de trabalho</t>
  </si>
  <si>
    <t>Total mensal estimado da Contratação</t>
  </si>
  <si>
    <t>Total anual estimado da contratação</t>
  </si>
  <si>
    <t>Salário</t>
  </si>
  <si>
    <t>Acúmulo de função</t>
  </si>
  <si>
    <t>Remuneração</t>
  </si>
  <si>
    <t>Encargos Sociais</t>
  </si>
  <si>
    <r>
      <t xml:space="preserve">Total unitário
montante
</t>
    </r>
    <r>
      <rPr>
        <b/>
        <sz val="12"/>
        <rFont val="Arial"/>
        <family val="2"/>
      </rPr>
      <t>"A"</t>
    </r>
  </si>
  <si>
    <t>Vale Refeição</t>
  </si>
  <si>
    <t>Valor do vale transporte mensal - parte da empresa</t>
  </si>
  <si>
    <t>Uniforme</t>
  </si>
  <si>
    <r>
      <t xml:space="preserve">Total unitário
montante
</t>
    </r>
    <r>
      <rPr>
        <b/>
        <sz val="12"/>
        <rFont val="Arial"/>
        <family val="2"/>
      </rPr>
      <t>"B"</t>
    </r>
  </si>
  <si>
    <t>Previsão Mensal Inicial</t>
  </si>
  <si>
    <t>Previsão Mensal Total</t>
  </si>
  <si>
    <t>Qtd de vale refeição fornecido</t>
  </si>
  <si>
    <t>Valor unitário do vale refeição</t>
  </si>
  <si>
    <t>Valor total do vale refeição</t>
  </si>
  <si>
    <t>Operação de Áudio e Vídeo</t>
  </si>
  <si>
    <t>36 horas</t>
  </si>
  <si>
    <t>Técnico de Manutenção Eletrônica</t>
  </si>
  <si>
    <t>Auxilio Técnico de Manutenção Eletrônica</t>
  </si>
  <si>
    <t>Supervisão</t>
  </si>
  <si>
    <t>44 horas</t>
  </si>
  <si>
    <t>Subtotal 1</t>
  </si>
  <si>
    <t>I - AUXILIO FUNERAL  - (Cláusula 24ª da CCT) - REEMBOLSO MEDIANTE APRESENTAÇÃO DE DOCUMENTO FISCAL DE PAGAMENTO</t>
  </si>
  <si>
    <t>II - Reembolso Creche - (Cláusula 25ª da CCT) - REEMBOLSO MEDIANTE APRESENTAÇÃO DE DOCUMENTO FISCAL DE PAGAMENTO</t>
  </si>
  <si>
    <t>III - Seguro de Vida - (Cláusula 26ª da CCT) - REEMBOLSO MEDIANTE APRESENTAÇÃO DE DOCUMENTO FISCAL DE PAGAMENTO</t>
  </si>
  <si>
    <t xml:space="preserve">IV - FERRAMENTAS DE USO INDIVIDUAL - RESSARCIMENTO - Deverão ser disponibilizadas a cada profissional dos postos de trabalho de Técnico e Auxiliar de Manutenção Eletrônica - Subitem 10.47 do Termo de Referência. </t>
  </si>
  <si>
    <t xml:space="preserve">V - FERRAMENTA DE USO COLETIVO - RESSARCIMENTO - Deverão ser disponibilizadas aos profissionais dos postos de trabalho de Técnico e Auxiliar de Manutenção Eletrônica - Subitem 10.47 do Termo de Referência. </t>
  </si>
  <si>
    <t>VI - Hora suplementar</t>
  </si>
  <si>
    <t>Subtotal 2</t>
  </si>
  <si>
    <t>TOTAL- Somatório do Subtotal 1 e do Subtotal 2</t>
  </si>
  <si>
    <t>Página 10 de 11</t>
  </si>
  <si>
    <t/>
  </si>
  <si>
    <t>ANEXO II DO QUINTO TERMO ADITIVO DO CONTRATO Nº 83/2011, DE PRESTAÇÃO DE SERVIÇOS DE APOIO ADMINISTRATIVO NAS ÁREAS DE OPERAÇÃO E MANUTENÇÃO CORRETIVA E PREVENTIVA EM EQUIPAMENTOS DE ÁUDIO E VÍDEO, QUE ENTRE SI CELEBRAM A UNIÃO, POR INTERMÉDIO DO SUPREMO TRIBUNAL FEDERAL, E A EMPRESA JME SERVIÇOS INTEGRADOS E EQUIPAMENTOS LTDA ME. (Pregão Presencial Nº 113/2011 – Processo 346.371).</t>
  </si>
  <si>
    <t>CÁLCULO DE HORAS E DIAS ÚTEIS NO PERÍODO DE 1/12/2013 A 30/11/2014</t>
  </si>
  <si>
    <t>MÊS</t>
  </si>
  <si>
    <t>Nº DE DIAS de 2ª a 5ª Feira</t>
  </si>
  <si>
    <t>Nº DE 6ª FEIRAS</t>
  </si>
  <si>
    <t>Nº DE SÁBADOS</t>
  </si>
  <si>
    <t>Nº DE DOMINGOS E FERIADOS</t>
  </si>
  <si>
    <t>Nº DE FERIADOS FORENSES</t>
  </si>
  <si>
    <t xml:space="preserve"> 36 horas semanais</t>
  </si>
  <si>
    <t xml:space="preserve"> 44 horas semanais</t>
  </si>
  <si>
    <t>CÁLCULO BDI - Não Cumulativa</t>
  </si>
  <si>
    <t>DESCRIÇÃO</t>
  </si>
  <si>
    <t>%</t>
  </si>
  <si>
    <t>TAXA DE ADMINISTRAÇÃO</t>
  </si>
  <si>
    <t>A</t>
  </si>
  <si>
    <t>TAXA DE LUCRO BRUTO</t>
  </si>
  <si>
    <t>B</t>
  </si>
  <si>
    <t>TRIBUTOS:</t>
  </si>
  <si>
    <t>C</t>
  </si>
  <si>
    <t>ISS</t>
  </si>
  <si>
    <t>COFINS</t>
  </si>
  <si>
    <t>PIS</t>
  </si>
  <si>
    <t>TOTAL DO BDI</t>
  </si>
  <si>
    <t>Fórmula do BDI</t>
  </si>
  <si>
    <r>
      <t xml:space="preserve">                         BDI =</t>
    </r>
    <r>
      <rPr>
        <sz val="10"/>
        <color indexed="9"/>
        <rFont val="Arial"/>
        <family val="2"/>
      </rPr>
      <t xml:space="preserve">     (</t>
    </r>
    <r>
      <rPr>
        <u/>
        <sz val="10"/>
        <rFont val="Arial"/>
        <family val="2"/>
      </rPr>
      <t xml:space="preserve">1 + A) x (1 + B) </t>
    </r>
    <r>
      <rPr>
        <sz val="10"/>
        <rFont val="Arial"/>
        <family val="2"/>
      </rPr>
      <t xml:space="preserve">  -   1</t>
    </r>
  </si>
  <si>
    <t>Onde:                                 (1 - C)</t>
  </si>
  <si>
    <t>A = Taxa de Despesas Administrativas;</t>
  </si>
  <si>
    <t>B = Taxa do Lucro Bruto; e</t>
  </si>
  <si>
    <t>C = Taxa dos Tributos</t>
  </si>
  <si>
    <t>DIAS ÚTEIS</t>
  </si>
  <si>
    <t xml:space="preserve">TOTAL DE HORAS DE FUNCIONAMENTO NO PERÍODO </t>
  </si>
  <si>
    <t>Possibilidade de redução de carga horária nos meses de julho, dezembro (período de 20 a 31), janeiro e fevereiro.</t>
  </si>
  <si>
    <t>CÁLCULO DO VALE TRANSPORTE</t>
  </si>
  <si>
    <t>Posto de trabalho</t>
  </si>
  <si>
    <t>12 meses (12 * salário)</t>
  </si>
  <si>
    <t>Dias úteis no ano</t>
  </si>
  <si>
    <t>Resultado (12 meses /dias úteis)</t>
  </si>
  <si>
    <t>6% * resultado</t>
  </si>
  <si>
    <t>Dias Trabalhados no ano</t>
  </si>
  <si>
    <t>Participação funcionário (anual)</t>
  </si>
  <si>
    <t>Valor unitário do vale</t>
  </si>
  <si>
    <t>Quantidade diária</t>
  </si>
  <si>
    <t>Resultado</t>
  </si>
  <si>
    <t>Participação do funcionário (anual)</t>
  </si>
  <si>
    <t>Participação da empresa (anual)</t>
  </si>
  <si>
    <t>participação da empresa (mensal)</t>
  </si>
  <si>
    <t>PLANILHA ESTIMATIVA DE CUSTOS</t>
  </si>
  <si>
    <t>Convenção Coletiva de Trabalho</t>
  </si>
  <si>
    <t>MONTANTE "B"</t>
  </si>
  <si>
    <t>Auxílio Alimentação</t>
  </si>
  <si>
    <t>meses</t>
  </si>
  <si>
    <t>Operador de Mídias audiovisuais (3731-05)</t>
  </si>
  <si>
    <t>SINRAD/SEAC com vigência de 1° de janeiro a 31/12/2022</t>
  </si>
  <si>
    <t>Editor de mídias audiovisuais (3744-05)</t>
  </si>
  <si>
    <t>Técnico de sistemas audiovisuais (3731-30)</t>
  </si>
  <si>
    <t>Supervisor Técnico (3732-30)</t>
  </si>
  <si>
    <t>Quantidade</t>
  </si>
  <si>
    <t xml:space="preserve">Valor unitário </t>
  </si>
  <si>
    <t xml:space="preserve">Valor Mensal </t>
  </si>
  <si>
    <t xml:space="preserve">Valor anual </t>
  </si>
  <si>
    <t>N/A</t>
  </si>
  <si>
    <t xml:space="preserve">Valor Unitário mensal </t>
  </si>
  <si>
    <t xml:space="preserve">Valor Total Mensal </t>
  </si>
  <si>
    <t>PLANILHA DE COMPOSIÇÃO DOS PERCENTUAIS</t>
  </si>
  <si>
    <t>PERCENTUAIS PARA CONTIGENCIAMENTO DE ENCARGOS TRABALHISTAS</t>
  </si>
  <si>
    <t xml:space="preserve"> MÁXIMOS DE ENCARGOS SOCIAIS </t>
  </si>
  <si>
    <t>Item</t>
  </si>
  <si>
    <t>Título</t>
  </si>
  <si>
    <t>R A T/FAP (*)</t>
  </si>
  <si>
    <t>Grupo "A"</t>
  </si>
  <si>
    <r>
      <t xml:space="preserve">PREVIDÊNCIA SOCIAL - </t>
    </r>
    <r>
      <rPr>
        <sz val="9"/>
        <color rgb="FF0070C0"/>
        <rFont val="Arial"/>
        <family val="2"/>
      </rPr>
      <t>PODERÁ SER ALTERADO</t>
    </r>
  </si>
  <si>
    <t>TÍTULO</t>
  </si>
  <si>
    <r>
      <t xml:space="preserve">SESI / SESC - </t>
    </r>
    <r>
      <rPr>
        <sz val="9"/>
        <color rgb="FFFF0000"/>
        <rFont val="Arial"/>
        <family val="2"/>
      </rPr>
      <t>NÃO PODERÁ SER ALTERADO</t>
    </r>
  </si>
  <si>
    <t>13º SALÁRIO</t>
  </si>
  <si>
    <r>
      <t xml:space="preserve">SENAI / SENAC - </t>
    </r>
    <r>
      <rPr>
        <sz val="9"/>
        <color rgb="FFFF0000"/>
        <rFont val="Arial"/>
        <family val="2"/>
      </rPr>
      <t>NÃO PODERÁ SER ALTERADO</t>
    </r>
  </si>
  <si>
    <t xml:space="preserve">FÉRIAS </t>
  </si>
  <si>
    <r>
      <t xml:space="preserve">INCRA - </t>
    </r>
    <r>
      <rPr>
        <sz val="9"/>
        <color rgb="FFFF0000"/>
        <rFont val="Arial"/>
        <family val="2"/>
      </rPr>
      <t>NÃO PODERÁ SER ALTERADO</t>
    </r>
  </si>
  <si>
    <t>Subtotal</t>
  </si>
  <si>
    <r>
      <t xml:space="preserve">SALÁRIO EDUCAÇÃO - </t>
    </r>
    <r>
      <rPr>
        <sz val="9"/>
        <color rgb="FFFF0000"/>
        <rFont val="Arial"/>
        <family val="2"/>
      </rPr>
      <t>NÃO PODERÁ SER ALTERADO</t>
    </r>
  </si>
  <si>
    <t>INCIDÊNCIA GRUPO "A" (*)</t>
  </si>
  <si>
    <r>
      <t xml:space="preserve">F G T S - </t>
    </r>
    <r>
      <rPr>
        <sz val="9"/>
        <color rgb="FFFF0000"/>
        <rFont val="Arial"/>
        <family val="2"/>
      </rPr>
      <t>NÃO PODERÁ SER ALTERADO</t>
    </r>
  </si>
  <si>
    <t>ABONO DE FÉRIAS</t>
  </si>
  <si>
    <t>RISCO ACIDENTE DE TRABALHO AJUSTADO (**)</t>
  </si>
  <si>
    <t>FGTS RECISÕES SEM JUSTA CAUSA</t>
  </si>
  <si>
    <r>
      <t xml:space="preserve">SEBRAE - </t>
    </r>
    <r>
      <rPr>
        <sz val="9"/>
        <color rgb="FFFF0000"/>
        <rFont val="Arial"/>
        <family val="2"/>
      </rPr>
      <t>NÃO PODERÁ SER ALTERADO</t>
    </r>
  </si>
  <si>
    <t>A CONTINGENCIAR</t>
  </si>
  <si>
    <t>Total do Grupo "A"</t>
  </si>
  <si>
    <t>Grupo B</t>
  </si>
  <si>
    <t>1 º Ano</t>
  </si>
  <si>
    <t>A partir do 2° ano</t>
  </si>
  <si>
    <r>
      <t>13º SALÁRIO -</t>
    </r>
    <r>
      <rPr>
        <sz val="9"/>
        <color rgb="FFFF0000"/>
        <rFont val="Arial"/>
        <family val="2"/>
      </rPr>
      <t xml:space="preserve"> NÃO PODERÁ SER ALTERADO</t>
    </r>
    <r>
      <rPr>
        <sz val="9"/>
        <rFont val="Arial"/>
        <family val="2"/>
      </rPr>
      <t xml:space="preserve"> (***)</t>
    </r>
  </si>
  <si>
    <t>CUSTOS INDIRETOS, TRIBUTO E LUCRO - CTIL</t>
  </si>
  <si>
    <r>
      <t xml:space="preserve">FÉRIAS - </t>
    </r>
    <r>
      <rPr>
        <sz val="9"/>
        <color rgb="FFFF0000"/>
        <rFont val="Arial"/>
        <family val="2"/>
      </rPr>
      <t>NÃO PODERÁ SER ALTERADO</t>
    </r>
    <r>
      <rPr>
        <sz val="9"/>
        <rFont val="Arial"/>
        <family val="2"/>
      </rPr>
      <t xml:space="preserve"> (***)</t>
    </r>
  </si>
  <si>
    <t>TRIBUTAÇÃO</t>
  </si>
  <si>
    <t>Cumulativa</t>
  </si>
  <si>
    <t>Não Cumulativa</t>
  </si>
  <si>
    <r>
      <t xml:space="preserve">ABONO DE FÉRIAS - </t>
    </r>
    <r>
      <rPr>
        <sz val="9"/>
        <color rgb="FFFF0000"/>
        <rFont val="Arial"/>
        <family val="2"/>
      </rPr>
      <t>NÃO PODERÁ SER ALTERADO</t>
    </r>
    <r>
      <rPr>
        <sz val="9"/>
        <color indexed="8"/>
        <rFont val="Arial"/>
        <family val="2"/>
      </rPr>
      <t xml:space="preserve"> (***)</t>
    </r>
  </si>
  <si>
    <r>
      <t xml:space="preserve">AUXÍLIO DOENÇA - </t>
    </r>
    <r>
      <rPr>
        <sz val="9"/>
        <color rgb="FF0070C0"/>
        <rFont val="Arial"/>
        <family val="2"/>
      </rPr>
      <t>PODERÁ SER ALTERADO</t>
    </r>
  </si>
  <si>
    <r>
      <t xml:space="preserve">LICENÇA PATERNIDADE - </t>
    </r>
    <r>
      <rPr>
        <sz val="9"/>
        <color rgb="FF0070C0"/>
        <rFont val="Arial"/>
        <family val="2"/>
      </rPr>
      <t>PODERÁ SER ALTERADO</t>
    </r>
  </si>
  <si>
    <t>TAXA DE ADMINISTRAÇÃO*</t>
  </si>
  <si>
    <r>
      <t xml:space="preserve">FALTAS LEGAIS - </t>
    </r>
    <r>
      <rPr>
        <sz val="9"/>
        <color rgb="FF0070C0"/>
        <rFont val="Arial"/>
        <family val="2"/>
      </rPr>
      <t>PODERÁ SER ALTERADO</t>
    </r>
  </si>
  <si>
    <t>TAXA DE LUCRO BRUTO*</t>
  </si>
  <si>
    <r>
      <t xml:space="preserve">ACIDENTE DO TRABALHO - </t>
    </r>
    <r>
      <rPr>
        <sz val="9"/>
        <color rgb="FF0070C0"/>
        <rFont val="Arial"/>
        <family val="2"/>
      </rPr>
      <t>PODERÁ SER ALTERADO</t>
    </r>
  </si>
  <si>
    <t>Total do Grupo "B"</t>
  </si>
  <si>
    <t>Grupo C</t>
  </si>
  <si>
    <r>
      <t xml:space="preserve">AVISO PRÉVIO INDENIZADO - </t>
    </r>
    <r>
      <rPr>
        <sz val="9"/>
        <color rgb="FF0070C0"/>
        <rFont val="Arial"/>
        <family val="2"/>
      </rPr>
      <t>PODERÁ SER ALTERADO</t>
    </r>
  </si>
  <si>
    <t>CPRB**</t>
  </si>
  <si>
    <r>
      <t xml:space="preserve">AVISO PRÉVIO - </t>
    </r>
    <r>
      <rPr>
        <sz val="9"/>
        <color rgb="FF0070C0"/>
        <rFont val="Arial"/>
        <family val="2"/>
      </rPr>
      <t>PODERÁ SER ALTERADO</t>
    </r>
  </si>
  <si>
    <t xml:space="preserve">TOTAL DO BDI   </t>
  </si>
  <si>
    <r>
      <t xml:space="preserve">INDENIZAÇÃO ADICIONAL - </t>
    </r>
    <r>
      <rPr>
        <sz val="9"/>
        <color rgb="FF0070C0"/>
        <rFont val="Arial"/>
        <family val="2"/>
      </rPr>
      <t>PODERÁ SER ALTERADO</t>
    </r>
  </si>
  <si>
    <t>Fórmula do CITL</t>
  </si>
  <si>
    <r>
      <t xml:space="preserve">FGTS RECISÕES SEM JUSTA CAUSA - </t>
    </r>
    <r>
      <rPr>
        <sz val="9"/>
        <color rgb="FF0070C0"/>
        <rFont val="Arial"/>
        <family val="2"/>
      </rPr>
      <t>PODERÁ SER ALTERADO</t>
    </r>
  </si>
  <si>
    <t>Total do Grupo "C"</t>
  </si>
  <si>
    <t xml:space="preserve">Onde:            </t>
  </si>
  <si>
    <t>Grupo D</t>
  </si>
  <si>
    <t>INCIDÊNCIA DE A SOBRE B</t>
  </si>
  <si>
    <t>Total do Grupo "D"</t>
  </si>
  <si>
    <t>* Incluem custo com salário, encargos e auxílios do preposto</t>
  </si>
  <si>
    <t>Total dos Encargos Sociais</t>
  </si>
  <si>
    <t>1° Ano</t>
  </si>
  <si>
    <t>(*) Risco Acidente de Trabalho/Fator Acidentário de Prevenção</t>
  </si>
  <si>
    <t>(**) Variação das alíquotas de 0,5% a 6% de RAT, devido a incidência do FAP</t>
  </si>
  <si>
    <t>(***) Em caso de ausência de cobertura de férias, deverá ser alterado o divisor para 11 meses, à partir do segundo ano do contrato</t>
  </si>
  <si>
    <t>Período</t>
  </si>
  <si>
    <t>Dias da Semana</t>
  </si>
  <si>
    <t>Quantidade de horas úteis por mês</t>
  </si>
  <si>
    <t>AUXÍLIO-ALIMENTAÇÃO</t>
  </si>
  <si>
    <t>Nº de Segundas a Quintas</t>
  </si>
  <si>
    <t>Nº de Sextas</t>
  </si>
  <si>
    <t>Nº de Sábados</t>
  </si>
  <si>
    <t>Nº de Domingos e Feriados</t>
  </si>
  <si>
    <t>Nº de Feriados Forenses</t>
  </si>
  <si>
    <t>Valor Unitário</t>
  </si>
  <si>
    <r>
      <t xml:space="preserve">Coparticipação funcionário (por dia) </t>
    </r>
    <r>
      <rPr>
        <b/>
        <sz val="9"/>
        <color rgb="FFFF0000"/>
        <rFont val="Arial"/>
        <family val="2"/>
      </rPr>
      <t>Poderá ser alterado de acordo com o PAT</t>
    </r>
  </si>
  <si>
    <t>Dias Úteis</t>
  </si>
  <si>
    <t>Total período</t>
  </si>
  <si>
    <t>Total Mensal</t>
  </si>
  <si>
    <t>Técnicop de sistemas audiovisuais</t>
  </si>
  <si>
    <t>Supervisor Técnico</t>
  </si>
  <si>
    <t xml:space="preserve">                                            CÁLCULO DO VALOR DA HORA - 1º ANO</t>
  </si>
  <si>
    <t>Postos de Trabalho</t>
  </si>
  <si>
    <t>Valor Mensal</t>
  </si>
  <si>
    <t>Divisor</t>
  </si>
  <si>
    <t>Valor da Hora</t>
  </si>
  <si>
    <t xml:space="preserve">Operador de Mídias audiovisuais </t>
  </si>
  <si>
    <t>Total de dias úteis</t>
  </si>
  <si>
    <t>Técnico de sistemas audiovisuais</t>
  </si>
  <si>
    <t>Total de horas anuais</t>
  </si>
  <si>
    <t>AUXÍLIO-TRANSPORTE</t>
  </si>
  <si>
    <t>Dias úteis no período</t>
  </si>
  <si>
    <t>Participação do funcionário (período)</t>
  </si>
  <si>
    <t>Participação da empresa (período)</t>
  </si>
  <si>
    <t>Especificação</t>
  </si>
  <si>
    <t>Unidade</t>
  </si>
  <si>
    <t>Valor unitário máximo admitido</t>
  </si>
  <si>
    <t>Quantidade anual sugerida</t>
  </si>
  <si>
    <t>Valor total máximo admitido</t>
  </si>
  <si>
    <t>Vida útil do equipamento
(anos)</t>
  </si>
  <si>
    <t>Taxa Anual de Depreciação</t>
  </si>
  <si>
    <t>Valor máximo anual a ser ressarcido considerando a depreciação</t>
  </si>
  <si>
    <t>Bolsa em lona para ferramentas 18polegadas com compartimentos</t>
  </si>
  <si>
    <t>Alicate de corte diagonal 5 a 6 polegadas</t>
  </si>
  <si>
    <t>Alicate de bico meia cana longo</t>
  </si>
  <si>
    <t>Alicate de compressão RG6</t>
  </si>
  <si>
    <t>Alicate de compressão RG11</t>
  </si>
  <si>
    <t>*Alicate de crimpar BNC BB3PhHCT Belden (pressão)</t>
  </si>
  <si>
    <t>Alicate crimpador com catraca para BNC ou TNC 1.7 a 6.5mm</t>
  </si>
  <si>
    <t>Alicate de compressão para conector F</t>
  </si>
  <si>
    <t>Alicate automático ajustável desemcapador e crimpador de 8 polegadas</t>
  </si>
  <si>
    <t xml:space="preserve">Alicate de pressão 10 polegadas </t>
  </si>
  <si>
    <t>Alicate Universal profissional Eletricista</t>
  </si>
  <si>
    <t xml:space="preserve">Estação de solda </t>
  </si>
  <si>
    <t>Ferro de solda</t>
  </si>
  <si>
    <t>TOTAL MÁXIMO ADMITIDO</t>
  </si>
  <si>
    <t>VALOR MENSAL MÁXIMO ADMITIDO - Considerando 2 profissionais</t>
  </si>
  <si>
    <t>UNIFORMES</t>
  </si>
  <si>
    <t>POSTO DE TRABALHO</t>
  </si>
  <si>
    <t>TOTAL DE PEÇAS ANUAIS</t>
  </si>
  <si>
    <t>UNIFORME MASCULINO</t>
  </si>
  <si>
    <t>VALOR UNITÁRIO</t>
  </si>
  <si>
    <t>VALOR TOTAL</t>
  </si>
  <si>
    <t>Todos os postos de trabalho para prestação de serviços técnicos especializados nas áreas de operação audiovisual, captação, edição e transmissão em broadcast de sinais de aúdio e vídeo.</t>
  </si>
  <si>
    <t xml:space="preserve"> Terno composto por paletó e calça social em tecido de cor escura, conforme especificação do termo de referência</t>
  </si>
  <si>
    <t>Camisa social, conforme especificação do termo de referência</t>
  </si>
  <si>
    <t>Gravata - conforme espeficicação do termo de referência</t>
  </si>
  <si>
    <t>Cinto, modelo social - conforme espeficicação do termo de referência</t>
  </si>
  <si>
    <t>Calçado: Sapato tipo esporte fino - conforme espeficicação do termo de referência</t>
  </si>
  <si>
    <t>Meia cor preta, conforme espeficicação do termo de referência</t>
  </si>
  <si>
    <t xml:space="preserve">Valor por profissional </t>
  </si>
  <si>
    <t>Valor por profissional mensal</t>
  </si>
  <si>
    <t>UNIFORME FEMININO</t>
  </si>
  <si>
    <t>Blazer, conforme especificação do termo de referência</t>
  </si>
  <si>
    <t>Saia, conforme especificação do termo de referência</t>
  </si>
  <si>
    <t>Calça Social Feminina conforme especificação do termo de referência</t>
  </si>
  <si>
    <t>Blusa Social Feminina conforme especificação do termo de referência</t>
  </si>
  <si>
    <t>Sapato Feminino conforme especificação do termo de referência</t>
  </si>
  <si>
    <t>Meia Calça conforme especificação do termo de referência</t>
  </si>
  <si>
    <t>CÁLCULO DO PROFISSIONAL DE COBERTURA</t>
  </si>
  <si>
    <t>Somatório Montantes 
"A" e "B"</t>
  </si>
  <si>
    <t>CITL
Calculado sobre o somatório dos Montantes 
"A" e "B"</t>
  </si>
  <si>
    <t>Valor diário da cobertura</t>
  </si>
  <si>
    <t>Valor da hora da cobertura</t>
  </si>
  <si>
    <t>13º Salário</t>
  </si>
  <si>
    <t>Férias</t>
  </si>
  <si>
    <t>Abono de férias</t>
  </si>
  <si>
    <t>Incidência do Módulo A sobre 13º Salário e Férias</t>
  </si>
  <si>
    <t>Total unitário Montante 
"A"</t>
  </si>
  <si>
    <t xml:space="preserve">Auxílio-Alimentação
</t>
  </si>
  <si>
    <t>Auxílio-transporte - parte da empresa</t>
  </si>
  <si>
    <t>Total unitário Montante 
"B"</t>
  </si>
  <si>
    <t>PLANILHA DE HORAS ANUAIS
01/06/2022 A 31/05/2023</t>
  </si>
  <si>
    <t>IV - FERRAMENTAS DE USO INDIVIDUAL - RESSARCIMENTO - VALOR MÁXIMO ADMITIDO - PODERÁ SER ALTERADO PELA LICITANTE</t>
  </si>
  <si>
    <t>V - UNIFORME - RESSARCIMENTO -  VALOR MÁXIMO ADMITIDO - PODERÁ SER ALTERADO PELA LICITANTE</t>
  </si>
  <si>
    <t>FERRAMENTAS QUE DEVERÃO SER DISPONIBILIZADAS AOS PROFISSIONAIS DOS POSTOS DE TRABALHO DE TÉCNICO DE SISTEMAS AUDIOVISUAIS.</t>
  </si>
  <si>
    <t>1 ° ANO</t>
  </si>
  <si>
    <t>VI - PEÇAS DE REPOSIÇÃO - RESSARCIMENTO - PODERÁ SER ALTERADO PELA LICITANTE 
(O desconto ofertado para este item será aplicado em eventual pagamento de substituição de peças na forma do subitem 6.5.6 do Termo de Referência - Anexo I do Edital).</t>
  </si>
  <si>
    <t>**Contribuição Previdenciária sobre a Receita Bruta - lei 12.546/2011</t>
  </si>
  <si>
    <t>I - AUXÍLIO-CRECHE -  RESSARCIMENTO -  SÓ PODERÁ SER ALTERADO PELA LICITANTE EM CASO DE ADOÇÃO DE OUTRA CCT</t>
  </si>
  <si>
    <t>II - SEGURO DE VIDA - RESSARCIMENTO - SÓ PODERÁ SER ALTERADO PELA LICITANTE EM CASO DE ADOÇÃO DE OUTRA CCT</t>
  </si>
  <si>
    <t>III - AUXÍLIO SAÚDE - RESSARCIMENTO - SÓ PODERÁ SER ALTERADO PELA LICITANTE EM CASO DE ADOÇÃO DE OUTRA CCT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</si>
</sst>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&quot;R$&quot;* #,##0.00_);_(&quot;R$&quot;* \(#,##0.00\);_(&quot;R$&quot;* &quot;-&quot;??_);_(@_)"/>
    <numFmt numFmtId="166" formatCode="&quot;R$ &quot;#,##0.00"/>
    <numFmt numFmtId="167" formatCode="0.000"/>
    <numFmt numFmtId="168" formatCode="&quot;R$&quot;\ #,##0.00"/>
  </numFmts>
  <fonts count="31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color indexed="9"/>
      <name val="Arial"/>
      <family val="2"/>
    </font>
    <font>
      <u/>
      <sz val="10"/>
      <name val="Arial"/>
      <family val="2"/>
    </font>
    <font>
      <b/>
      <sz val="10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b/>
      <sz val="9"/>
      <color indexed="54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sz val="10"/>
      <name val="Arial"/>
    </font>
    <font>
      <sz val="9"/>
      <color indexed="10"/>
      <name val="Arial"/>
      <family val="2"/>
    </font>
    <font>
      <sz val="12"/>
      <color theme="1"/>
      <name val="Arial"/>
      <family val="2"/>
    </font>
    <font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name val="Arial Narrow"/>
      <family val="2"/>
    </font>
    <font>
      <b/>
      <sz val="9"/>
      <color rgb="FF000000"/>
      <name val="Arial"/>
      <family val="2"/>
    </font>
    <font>
      <b/>
      <sz val="12"/>
      <color rgb="FFFF0000"/>
      <name val="Arial"/>
      <family val="2"/>
    </font>
    <font>
      <sz val="10"/>
      <color theme="1"/>
      <name val="Arial"/>
    </font>
    <font>
      <sz val="9"/>
      <color rgb="FF0070C0"/>
      <name val="Arial"/>
      <family val="2"/>
    </font>
    <font>
      <sz val="9"/>
      <color rgb="FFFF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</cellStyleXfs>
  <cellXfs count="554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/>
    <xf numFmtId="3" fontId="6" fillId="0" borderId="0" xfId="0" applyNumberFormat="1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0" fontId="6" fillId="0" borderId="5" xfId="0" applyNumberFormat="1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10" fontId="5" fillId="0" borderId="5" xfId="0" applyNumberFormat="1" applyFont="1" applyBorder="1"/>
    <xf numFmtId="9" fontId="5" fillId="0" borderId="8" xfId="0" applyNumberFormat="1" applyFont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4" fontId="4" fillId="0" borderId="5" xfId="0" applyNumberFormat="1" applyFont="1" applyBorder="1" applyAlignment="1">
      <alignment horizontal="right" vertical="center" wrapText="1"/>
    </xf>
    <xf numFmtId="164" fontId="3" fillId="0" borderId="9" xfId="11" applyFont="1" applyFill="1" applyBorder="1" applyAlignment="1">
      <alignment vertical="center"/>
    </xf>
    <xf numFmtId="164" fontId="3" fillId="0" borderId="10" xfId="11" applyFont="1" applyFill="1" applyBorder="1" applyAlignment="1">
      <alignment vertical="center"/>
    </xf>
    <xf numFmtId="0" fontId="7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6" fillId="0" borderId="6" xfId="0" applyFont="1" applyBorder="1"/>
    <xf numFmtId="0" fontId="6" fillId="0" borderId="8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1" xfId="0" applyFont="1" applyBorder="1" applyAlignment="1">
      <alignment vertical="center"/>
    </xf>
    <xf numFmtId="0" fontId="5" fillId="0" borderId="13" xfId="0" applyFont="1" applyBorder="1"/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4" fontId="3" fillId="0" borderId="9" xfId="0" applyNumberFormat="1" applyFont="1" applyBorder="1" applyAlignment="1">
      <alignment horizontal="right" vertical="center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164" fontId="3" fillId="0" borderId="9" xfId="11" applyFont="1" applyFill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10" fontId="4" fillId="0" borderId="0" xfId="5" applyNumberFormat="1" applyFont="1" applyFill="1" applyBorder="1"/>
    <xf numFmtId="3" fontId="3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165" fontId="7" fillId="0" borderId="0" xfId="1" applyFont="1" applyBorder="1" applyAlignment="1">
      <alignment wrapText="1"/>
    </xf>
    <xf numFmtId="0" fontId="4" fillId="0" borderId="0" xfId="0" quotePrefix="1" applyFont="1"/>
    <xf numFmtId="164" fontId="4" fillId="0" borderId="0" xfId="0" applyNumberFormat="1" applyFont="1"/>
    <xf numFmtId="4" fontId="4" fillId="0" borderId="0" xfId="0" applyNumberFormat="1" applyFont="1"/>
    <xf numFmtId="0" fontId="6" fillId="0" borderId="1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vertical="center"/>
    </xf>
    <xf numFmtId="164" fontId="5" fillId="0" borderId="22" xfId="0" applyNumberFormat="1" applyFont="1" applyBorder="1" applyAlignment="1">
      <alignment vertical="center"/>
    </xf>
    <xf numFmtId="16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64" fontId="5" fillId="0" borderId="9" xfId="0" applyNumberFormat="1" applyFont="1" applyBorder="1" applyAlignment="1">
      <alignment vertical="center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64" fontId="5" fillId="0" borderId="10" xfId="0" applyNumberFormat="1" applyFont="1" applyBorder="1" applyAlignment="1">
      <alignment vertical="center"/>
    </xf>
    <xf numFmtId="2" fontId="4" fillId="0" borderId="0" xfId="0" applyNumberFormat="1" applyFont="1" applyAlignment="1">
      <alignment horizontal="left"/>
    </xf>
    <xf numFmtId="2" fontId="4" fillId="0" borderId="0" xfId="0" applyNumberFormat="1" applyFont="1"/>
    <xf numFmtId="164" fontId="4" fillId="0" borderId="2" xfId="11" applyFont="1" applyFill="1" applyBorder="1" applyAlignment="1">
      <alignment vertical="center"/>
    </xf>
    <xf numFmtId="4" fontId="3" fillId="0" borderId="3" xfId="0" applyNumberFormat="1" applyFont="1" applyBorder="1" applyAlignment="1">
      <alignment horizontal="right" vertical="center" wrapText="1"/>
    </xf>
    <xf numFmtId="164" fontId="4" fillId="0" borderId="20" xfId="11" applyFont="1" applyFill="1" applyBorder="1" applyAlignment="1">
      <alignment vertical="center"/>
    </xf>
    <xf numFmtId="4" fontId="3" fillId="0" borderId="22" xfId="0" applyNumberFormat="1" applyFont="1" applyBorder="1" applyAlignment="1">
      <alignment horizontal="right" vertical="center" wrapText="1"/>
    </xf>
    <xf numFmtId="17" fontId="5" fillId="0" borderId="1" xfId="0" applyNumberFormat="1" applyFont="1" applyBorder="1" applyAlignment="1">
      <alignment horizontal="justify" vertical="top" wrapText="1"/>
    </xf>
    <xf numFmtId="17" fontId="6" fillId="0" borderId="1" xfId="0" applyNumberFormat="1" applyFont="1" applyBorder="1" applyAlignment="1">
      <alignment horizontal="justify" vertical="top" wrapText="1"/>
    </xf>
    <xf numFmtId="0" fontId="0" fillId="0" borderId="1" xfId="0" applyBorder="1"/>
    <xf numFmtId="17" fontId="0" fillId="0" borderId="1" xfId="0" applyNumberFormat="1" applyBorder="1"/>
    <xf numFmtId="10" fontId="4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64" fontId="3" fillId="0" borderId="23" xfId="11" applyFont="1" applyFill="1" applyBorder="1" applyAlignment="1">
      <alignment vertical="center"/>
    </xf>
    <xf numFmtId="164" fontId="13" fillId="0" borderId="23" xfId="11" applyFont="1" applyFill="1" applyBorder="1" applyAlignment="1">
      <alignment vertical="center"/>
    </xf>
    <xf numFmtId="164" fontId="13" fillId="0" borderId="24" xfId="11" applyFont="1" applyFill="1" applyBorder="1" applyAlignment="1">
      <alignment vertical="center"/>
    </xf>
    <xf numFmtId="3" fontId="6" fillId="0" borderId="1" xfId="0" applyNumberFormat="1" applyFont="1" applyBorder="1" applyAlignment="1">
      <alignment horizontal="center"/>
    </xf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4" fillId="6" borderId="1" xfId="0" applyNumberFormat="1" applyFont="1" applyFill="1" applyBorder="1" applyAlignment="1">
      <alignment horizontal="center" vertical="center" wrapText="1"/>
    </xf>
    <xf numFmtId="4" fontId="4" fillId="6" borderId="1" xfId="0" applyNumberFormat="1" applyFont="1" applyFill="1" applyBorder="1" applyAlignment="1">
      <alignment horizontal="right" vertical="center" wrapText="1"/>
    </xf>
    <xf numFmtId="164" fontId="4" fillId="6" borderId="1" xfId="0" applyNumberFormat="1" applyFont="1" applyFill="1" applyBorder="1" applyAlignment="1">
      <alignment horizontal="center" vertical="center" wrapText="1"/>
    </xf>
    <xf numFmtId="164" fontId="4" fillId="6" borderId="1" xfId="11" applyFont="1" applyFill="1" applyBorder="1" applyAlignment="1">
      <alignment vertical="center"/>
    </xf>
    <xf numFmtId="4" fontId="3" fillId="6" borderId="5" xfId="0" applyNumberFormat="1" applyFont="1" applyFill="1" applyBorder="1" applyAlignment="1">
      <alignment horizontal="right" vertical="center" wrapText="1"/>
    </xf>
    <xf numFmtId="3" fontId="4" fillId="6" borderId="1" xfId="0" applyNumberFormat="1" applyFont="1" applyFill="1" applyBorder="1" applyAlignment="1">
      <alignment horizontal="center" vertical="center" wrapText="1"/>
    </xf>
    <xf numFmtId="10" fontId="6" fillId="0" borderId="10" xfId="6" applyNumberFormat="1" applyFont="1" applyFill="1" applyBorder="1" applyAlignment="1">
      <alignment horizontal="right"/>
    </xf>
    <xf numFmtId="10" fontId="6" fillId="0" borderId="12" xfId="6" applyNumberFormat="1" applyFont="1" applyFill="1" applyBorder="1"/>
    <xf numFmtId="164" fontId="5" fillId="0" borderId="20" xfId="12" applyFont="1" applyBorder="1" applyAlignment="1">
      <alignment horizontal="center" vertical="center"/>
    </xf>
    <xf numFmtId="164" fontId="5" fillId="0" borderId="20" xfId="12" applyFont="1" applyFill="1" applyBorder="1" applyAlignment="1">
      <alignment horizontal="center" vertical="center"/>
    </xf>
    <xf numFmtId="164" fontId="5" fillId="0" borderId="0" xfId="12" applyFont="1" applyBorder="1" applyAlignment="1">
      <alignment horizontal="center" vertical="center"/>
    </xf>
    <xf numFmtId="164" fontId="5" fillId="0" borderId="9" xfId="12" applyFont="1" applyFill="1" applyBorder="1" applyAlignment="1">
      <alignment vertical="center"/>
    </xf>
    <xf numFmtId="0" fontId="5" fillId="0" borderId="1" xfId="0" applyFont="1" applyBorder="1"/>
    <xf numFmtId="17" fontId="0" fillId="6" borderId="1" xfId="0" applyNumberFormat="1" applyFill="1" applyBorder="1"/>
    <xf numFmtId="0" fontId="6" fillId="6" borderId="1" xfId="0" applyFont="1" applyFill="1" applyBorder="1" applyAlignment="1">
      <alignment horizontal="center"/>
    </xf>
    <xf numFmtId="0" fontId="0" fillId="6" borderId="1" xfId="0" applyFill="1" applyBorder="1"/>
    <xf numFmtId="0" fontId="4" fillId="0" borderId="0" xfId="4" applyFont="1"/>
    <xf numFmtId="10" fontId="4" fillId="0" borderId="0" xfId="9" applyNumberFormat="1" applyFont="1" applyFill="1" applyBorder="1"/>
    <xf numFmtId="0" fontId="5" fillId="0" borderId="0" xfId="4"/>
    <xf numFmtId="0" fontId="6" fillId="0" borderId="1" xfId="4" applyFont="1" applyBorder="1" applyAlignment="1">
      <alignment horizontal="center"/>
    </xf>
    <xf numFmtId="0" fontId="5" fillId="0" borderId="11" xfId="4" applyBorder="1"/>
    <xf numFmtId="0" fontId="5" fillId="0" borderId="12" xfId="4" applyBorder="1"/>
    <xf numFmtId="0" fontId="5" fillId="0" borderId="11" xfId="4" applyBorder="1" applyAlignment="1">
      <alignment vertical="center"/>
    </xf>
    <xf numFmtId="0" fontId="5" fillId="0" borderId="13" xfId="4" applyBorder="1"/>
    <xf numFmtId="0" fontId="5" fillId="0" borderId="14" xfId="4" applyBorder="1" applyAlignment="1">
      <alignment vertical="center" wrapText="1"/>
    </xf>
    <xf numFmtId="0" fontId="5" fillId="0" borderId="15" xfId="4" applyBorder="1" applyAlignment="1">
      <alignment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top" wrapText="1"/>
    </xf>
    <xf numFmtId="0" fontId="5" fillId="0" borderId="21" xfId="4" applyBorder="1" applyAlignment="1">
      <alignment horizontal="center" vertical="center" wrapText="1"/>
    </xf>
    <xf numFmtId="0" fontId="5" fillId="0" borderId="20" xfId="4" applyBorder="1" applyAlignment="1">
      <alignment horizontal="center" vertical="center"/>
    </xf>
    <xf numFmtId="164" fontId="5" fillId="0" borderId="20" xfId="4" applyNumberFormat="1" applyBorder="1" applyAlignment="1">
      <alignment vertical="center"/>
    </xf>
    <xf numFmtId="0" fontId="5" fillId="0" borderId="19" xfId="4" applyBorder="1" applyAlignment="1">
      <alignment horizontal="center" vertical="center" wrapText="1"/>
    </xf>
    <xf numFmtId="164" fontId="5" fillId="0" borderId="9" xfId="4" applyNumberFormat="1" applyBorder="1" applyAlignment="1">
      <alignment vertical="center"/>
    </xf>
    <xf numFmtId="164" fontId="5" fillId="0" borderId="20" xfId="14" applyFont="1" applyFill="1" applyBorder="1" applyAlignment="1">
      <alignment horizontal="center" vertical="center"/>
    </xf>
    <xf numFmtId="4" fontId="5" fillId="0" borderId="9" xfId="4" applyNumberFormat="1" applyBorder="1" applyAlignment="1">
      <alignment horizontal="center" vertical="center" wrapText="1"/>
    </xf>
    <xf numFmtId="164" fontId="5" fillId="0" borderId="9" xfId="4" applyNumberFormat="1" applyBorder="1" applyAlignment="1">
      <alignment horizontal="center" vertical="center"/>
    </xf>
    <xf numFmtId="164" fontId="5" fillId="0" borderId="10" xfId="4" applyNumberFormat="1" applyBorder="1" applyAlignment="1">
      <alignment horizontal="center" vertical="center"/>
    </xf>
    <xf numFmtId="166" fontId="2" fillId="0" borderId="0" xfId="4" applyNumberFormat="1" applyFont="1"/>
    <xf numFmtId="0" fontId="10" fillId="0" borderId="0" xfId="4" applyFont="1" applyAlignment="1">
      <alignment horizontal="left"/>
    </xf>
    <xf numFmtId="0" fontId="5" fillId="0" borderId="1" xfId="4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5" fillId="0" borderId="4" xfId="4" applyBorder="1" applyAlignment="1">
      <alignment horizontal="center" vertical="center" wrapText="1"/>
    </xf>
    <xf numFmtId="0" fontId="5" fillId="0" borderId="2" xfId="4" applyBorder="1" applyAlignment="1">
      <alignment horizontal="center" vertical="center" wrapText="1"/>
    </xf>
    <xf numFmtId="0" fontId="5" fillId="0" borderId="3" xfId="4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11" fillId="0" borderId="0" xfId="0" applyFont="1"/>
    <xf numFmtId="0" fontId="16" fillId="0" borderId="25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167" fontId="16" fillId="3" borderId="5" xfId="10" applyNumberFormat="1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9" fontId="16" fillId="0" borderId="0" xfId="0" applyNumberFormat="1" applyFont="1" applyAlignment="1">
      <alignment horizontal="center" vertical="center" wrapText="1"/>
    </xf>
    <xf numFmtId="9" fontId="16" fillId="0" borderId="12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3" borderId="11" xfId="0" applyFont="1" applyFill="1" applyBorder="1"/>
    <xf numFmtId="10" fontId="16" fillId="3" borderId="22" xfId="7" applyNumberFormat="1" applyFont="1" applyFill="1" applyBorder="1" applyAlignment="1"/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justify"/>
    </xf>
    <xf numFmtId="0" fontId="11" fillId="0" borderId="21" xfId="0" applyFont="1" applyBorder="1" applyAlignment="1">
      <alignment horizontal="center"/>
    </xf>
    <xf numFmtId="0" fontId="11" fillId="0" borderId="22" xfId="0" applyFont="1" applyBorder="1" applyAlignment="1">
      <alignment horizontal="center"/>
    </xf>
    <xf numFmtId="0" fontId="11" fillId="0" borderId="28" xfId="0" applyFont="1" applyBorder="1" applyAlignment="1">
      <alignment horizontal="justify"/>
    </xf>
    <xf numFmtId="10" fontId="11" fillId="0" borderId="29" xfId="7" applyNumberFormat="1" applyFont="1" applyFill="1" applyBorder="1" applyAlignment="1">
      <alignment horizontal="right"/>
    </xf>
    <xf numFmtId="0" fontId="11" fillId="0" borderId="21" xfId="0" applyFont="1" applyBorder="1" applyAlignment="1">
      <alignment horizontal="justify"/>
    </xf>
    <xf numFmtId="10" fontId="11" fillId="0" borderId="22" xfId="7" applyNumberFormat="1" applyFont="1" applyFill="1" applyBorder="1" applyAlignment="1">
      <alignment horizontal="right"/>
    </xf>
    <xf numFmtId="0" fontId="11" fillId="0" borderId="30" xfId="0" applyFont="1" applyBorder="1"/>
    <xf numFmtId="10" fontId="11" fillId="0" borderId="31" xfId="7" applyNumberFormat="1" applyFont="1" applyBorder="1"/>
    <xf numFmtId="0" fontId="17" fillId="0" borderId="32" xfId="0" applyFont="1" applyBorder="1" applyAlignment="1">
      <alignment horizontal="justify"/>
    </xf>
    <xf numFmtId="10" fontId="11" fillId="0" borderId="33" xfId="7" applyNumberFormat="1" applyFont="1" applyFill="1" applyBorder="1" applyAlignment="1">
      <alignment horizontal="right"/>
    </xf>
    <xf numFmtId="0" fontId="11" fillId="0" borderId="21" xfId="0" applyFont="1" applyBorder="1"/>
    <xf numFmtId="0" fontId="16" fillId="3" borderId="34" xfId="0" applyFont="1" applyFill="1" applyBorder="1"/>
    <xf numFmtId="10" fontId="16" fillId="3" borderId="35" xfId="7" applyNumberFormat="1" applyFont="1" applyFill="1" applyBorder="1" applyAlignment="1"/>
    <xf numFmtId="2" fontId="11" fillId="0" borderId="0" xfId="0" applyNumberFormat="1" applyFont="1"/>
    <xf numFmtId="0" fontId="2" fillId="0" borderId="0" xfId="0" applyFont="1"/>
    <xf numFmtId="0" fontId="16" fillId="0" borderId="11" xfId="0" applyFont="1" applyBorder="1" applyAlignment="1">
      <alignment horizontal="center"/>
    </xf>
    <xf numFmtId="0" fontId="16" fillId="0" borderId="0" xfId="0" applyFont="1" applyAlignment="1">
      <alignment horizontal="center"/>
    </xf>
    <xf numFmtId="2" fontId="16" fillId="0" borderId="0" xfId="0" applyNumberFormat="1" applyFont="1" applyAlignment="1">
      <alignment horizontal="right"/>
    </xf>
    <xf numFmtId="2" fontId="16" fillId="0" borderId="12" xfId="0" applyNumberFormat="1" applyFont="1" applyBorder="1" applyAlignment="1">
      <alignment horizontal="right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justify"/>
    </xf>
    <xf numFmtId="0" fontId="11" fillId="0" borderId="27" xfId="0" applyFont="1" applyBorder="1"/>
    <xf numFmtId="0" fontId="12" fillId="0" borderId="11" xfId="0" applyFont="1" applyBorder="1" applyAlignment="1">
      <alignment horizontal="center"/>
    </xf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right"/>
    </xf>
    <xf numFmtId="2" fontId="12" fillId="0" borderId="12" xfId="0" applyNumberFormat="1" applyFont="1" applyBorder="1" applyAlignment="1">
      <alignment horizontal="right"/>
    </xf>
    <xf numFmtId="0" fontId="16" fillId="3" borderId="15" xfId="0" applyFont="1" applyFill="1" applyBorder="1" applyAlignment="1">
      <alignment horizontal="center" vertical="center" wrapText="1"/>
    </xf>
    <xf numFmtId="0" fontId="5" fillId="0" borderId="5" xfId="4" applyBorder="1"/>
    <xf numFmtId="17" fontId="6" fillId="0" borderId="4" xfId="4" applyNumberFormat="1" applyFont="1" applyBorder="1" applyAlignment="1">
      <alignment horizontal="justify" vertical="top" wrapText="1"/>
    </xf>
    <xf numFmtId="3" fontId="6" fillId="0" borderId="9" xfId="4" applyNumberFormat="1" applyFont="1" applyBorder="1" applyAlignment="1">
      <alignment horizontal="center"/>
    </xf>
    <xf numFmtId="3" fontId="6" fillId="0" borderId="10" xfId="4" applyNumberFormat="1" applyFont="1" applyBorder="1" applyAlignment="1">
      <alignment horizontal="center"/>
    </xf>
    <xf numFmtId="0" fontId="6" fillId="0" borderId="36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5" fillId="0" borderId="1" xfId="4" applyBorder="1" applyAlignment="1">
      <alignment vertical="top" wrapText="1"/>
    </xf>
    <xf numFmtId="165" fontId="5" fillId="0" borderId="1" xfId="3" applyFont="1" applyBorder="1" applyAlignment="1">
      <alignment vertical="center" wrapText="1"/>
    </xf>
    <xf numFmtId="165" fontId="5" fillId="0" borderId="5" xfId="3" applyFont="1" applyBorder="1" applyAlignment="1">
      <alignment vertical="center" wrapText="1"/>
    </xf>
    <xf numFmtId="44" fontId="5" fillId="0" borderId="15" xfId="4" applyNumberFormat="1" applyBorder="1"/>
    <xf numFmtId="0" fontId="5" fillId="0" borderId="1" xfId="4" applyBorder="1" applyAlignment="1">
      <alignment horizontal="justify" vertical="center" wrapText="1"/>
    </xf>
    <xf numFmtId="166" fontId="5" fillId="0" borderId="1" xfId="4" applyNumberFormat="1" applyBorder="1" applyAlignment="1">
      <alignment horizontal="right" vertical="center" wrapText="1"/>
    </xf>
    <xf numFmtId="0" fontId="5" fillId="0" borderId="1" xfId="4" applyBorder="1" applyAlignment="1">
      <alignment horizontal="center" vertical="top" wrapText="1"/>
    </xf>
    <xf numFmtId="166" fontId="5" fillId="0" borderId="1" xfId="4" applyNumberFormat="1" applyBorder="1" applyAlignment="1">
      <alignment horizontal="right" wrapText="1"/>
    </xf>
    <xf numFmtId="166" fontId="5" fillId="0" borderId="5" xfId="4" applyNumberFormat="1" applyBorder="1" applyAlignment="1">
      <alignment horizontal="right" wrapText="1"/>
    </xf>
    <xf numFmtId="166" fontId="6" fillId="0" borderId="22" xfId="4" applyNumberFormat="1" applyFont="1" applyBorder="1" applyAlignment="1">
      <alignment horizontal="right" wrapText="1"/>
    </xf>
    <xf numFmtId="4" fontId="5" fillId="0" borderId="1" xfId="4" applyNumberFormat="1" applyBorder="1" applyAlignment="1">
      <alignment horizontal="center" vertical="center" wrapText="1"/>
    </xf>
    <xf numFmtId="164" fontId="5" fillId="0" borderId="1" xfId="14" applyFont="1" applyBorder="1" applyAlignment="1">
      <alignment horizontal="center" vertical="center"/>
    </xf>
    <xf numFmtId="164" fontId="5" fillId="0" borderId="1" xfId="4" applyNumberFormat="1" applyBorder="1" applyAlignment="1">
      <alignment horizontal="center" vertical="center"/>
    </xf>
    <xf numFmtId="164" fontId="5" fillId="0" borderId="5" xfId="4" applyNumberFormat="1" applyBorder="1" applyAlignment="1">
      <alignment horizontal="center" vertical="center"/>
    </xf>
    <xf numFmtId="0" fontId="6" fillId="0" borderId="5" xfId="4" applyFont="1" applyBorder="1" applyAlignment="1">
      <alignment horizontal="center"/>
    </xf>
    <xf numFmtId="10" fontId="6" fillId="0" borderId="1" xfId="4" applyNumberFormat="1" applyFont="1" applyBorder="1" applyAlignment="1">
      <alignment horizontal="center"/>
    </xf>
    <xf numFmtId="10" fontId="6" fillId="0" borderId="5" xfId="4" applyNumberFormat="1" applyFont="1" applyBorder="1" applyAlignment="1">
      <alignment horizontal="center"/>
    </xf>
    <xf numFmtId="0" fontId="6" fillId="0" borderId="37" xfId="4" applyFont="1" applyBorder="1"/>
    <xf numFmtId="0" fontId="6" fillId="0" borderId="38" xfId="4" applyFont="1" applyBorder="1"/>
    <xf numFmtId="0" fontId="5" fillId="0" borderId="39" xfId="4" applyBorder="1"/>
    <xf numFmtId="10" fontId="5" fillId="0" borderId="1" xfId="4" applyNumberFormat="1" applyBorder="1" applyAlignment="1">
      <alignment horizontal="center"/>
    </xf>
    <xf numFmtId="10" fontId="5" fillId="0" borderId="5" xfId="4" applyNumberFormat="1" applyBorder="1" applyAlignment="1">
      <alignment horizontal="center"/>
    </xf>
    <xf numFmtId="0" fontId="5" fillId="0" borderId="40" xfId="4" applyBorder="1"/>
    <xf numFmtId="0" fontId="5" fillId="0" borderId="41" xfId="4" applyBorder="1"/>
    <xf numFmtId="10" fontId="16" fillId="3" borderId="0" xfId="8" applyNumberFormat="1" applyFont="1" applyFill="1" applyBorder="1" applyAlignment="1">
      <alignment horizontal="center" vertical="center" wrapText="1"/>
    </xf>
    <xf numFmtId="10" fontId="16" fillId="3" borderId="12" xfId="8" applyNumberFormat="1" applyFont="1" applyFill="1" applyBorder="1" applyAlignment="1">
      <alignment horizontal="center"/>
    </xf>
    <xf numFmtId="0" fontId="6" fillId="0" borderId="42" xfId="4" applyFont="1" applyBorder="1" applyAlignment="1">
      <alignment horizontal="center"/>
    </xf>
    <xf numFmtId="10" fontId="6" fillId="0" borderId="42" xfId="8" applyNumberFormat="1" applyFont="1" applyFill="1" applyBorder="1"/>
    <xf numFmtId="10" fontId="6" fillId="0" borderId="43" xfId="8" applyNumberFormat="1" applyFont="1" applyFill="1" applyBorder="1"/>
    <xf numFmtId="0" fontId="11" fillId="0" borderId="13" xfId="4" applyFont="1" applyBorder="1"/>
    <xf numFmtId="0" fontId="11" fillId="0" borderId="14" xfId="4" applyFont="1" applyBorder="1"/>
    <xf numFmtId="0" fontId="5" fillId="0" borderId="14" xfId="4" applyBorder="1"/>
    <xf numFmtId="0" fontId="5" fillId="0" borderId="15" xfId="4" applyBorder="1"/>
    <xf numFmtId="9" fontId="16" fillId="3" borderId="1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wrapText="1"/>
    </xf>
    <xf numFmtId="0" fontId="5" fillId="5" borderId="6" xfId="4" applyFill="1" applyBorder="1" applyAlignment="1">
      <alignment horizontal="center" vertical="center" wrapText="1"/>
    </xf>
    <xf numFmtId="168" fontId="12" fillId="9" borderId="73" xfId="0" applyNumberFormat="1" applyFont="1" applyFill="1" applyBorder="1" applyAlignment="1">
      <alignment wrapText="1"/>
    </xf>
    <xf numFmtId="168" fontId="24" fillId="9" borderId="72" xfId="0" applyNumberFormat="1" applyFont="1" applyFill="1" applyBorder="1" applyAlignment="1">
      <alignment wrapText="1"/>
    </xf>
    <xf numFmtId="164" fontId="5" fillId="0" borderId="72" xfId="14" applyFont="1" applyFill="1" applyBorder="1" applyAlignment="1">
      <alignment horizontal="center" vertical="center"/>
    </xf>
    <xf numFmtId="0" fontId="5" fillId="0" borderId="52" xfId="4" applyBorder="1" applyAlignment="1">
      <alignment horizontal="center" vertical="center" wrapText="1"/>
    </xf>
    <xf numFmtId="0" fontId="5" fillId="0" borderId="18" xfId="4" applyBorder="1" applyAlignment="1">
      <alignment horizontal="center" vertical="center"/>
    </xf>
    <xf numFmtId="0" fontId="12" fillId="9" borderId="72" xfId="0" applyFont="1" applyFill="1" applyBorder="1" applyAlignment="1">
      <alignment wrapText="1"/>
    </xf>
    <xf numFmtId="0" fontId="12" fillId="9" borderId="72" xfId="0" applyFont="1" applyFill="1" applyBorder="1" applyAlignment="1">
      <alignment vertical="center" wrapText="1"/>
    </xf>
    <xf numFmtId="0" fontId="5" fillId="0" borderId="54" xfId="4" applyBorder="1" applyAlignment="1">
      <alignment horizontal="center" vertical="center" wrapText="1"/>
    </xf>
    <xf numFmtId="0" fontId="5" fillId="0" borderId="33" xfId="4" applyBorder="1" applyAlignment="1">
      <alignment horizontal="center" vertical="center" wrapText="1"/>
    </xf>
    <xf numFmtId="17" fontId="26" fillId="0" borderId="32" xfId="0" applyNumberFormat="1" applyFont="1" applyBorder="1" applyAlignment="1">
      <alignment horizontal="center" vertical="center"/>
    </xf>
    <xf numFmtId="0" fontId="12" fillId="8" borderId="41" xfId="0" applyFont="1" applyFill="1" applyBorder="1" applyAlignment="1">
      <alignment horizontal="center" vertical="center" wrapText="1"/>
    </xf>
    <xf numFmtId="4" fontId="12" fillId="9" borderId="73" xfId="0" applyNumberFormat="1" applyFont="1" applyFill="1" applyBorder="1" applyAlignment="1">
      <alignment wrapText="1"/>
    </xf>
    <xf numFmtId="164" fontId="5" fillId="0" borderId="1" xfId="4" applyNumberFormat="1" applyBorder="1" applyAlignment="1">
      <alignment vertical="center"/>
    </xf>
    <xf numFmtId="0" fontId="12" fillId="0" borderId="72" xfId="0" applyFont="1" applyBorder="1" applyAlignment="1">
      <alignment vertical="center" wrapText="1"/>
    </xf>
    <xf numFmtId="168" fontId="12" fillId="9" borderId="72" xfId="0" applyNumberFormat="1" applyFont="1" applyFill="1" applyBorder="1" applyAlignment="1">
      <alignment wrapText="1"/>
    </xf>
    <xf numFmtId="0" fontId="4" fillId="5" borderId="6" xfId="4" applyFont="1" applyFill="1" applyBorder="1" applyAlignment="1">
      <alignment horizontal="center" vertical="center" wrapText="1"/>
    </xf>
    <xf numFmtId="10" fontId="6" fillId="5" borderId="1" xfId="7" applyNumberFormat="1" applyFont="1" applyFill="1" applyBorder="1" applyAlignment="1">
      <alignment horizontal="center" vertical="center"/>
    </xf>
    <xf numFmtId="10" fontId="6" fillId="5" borderId="1" xfId="15" applyNumberFormat="1" applyFont="1" applyFill="1" applyBorder="1" applyAlignment="1">
      <alignment horizontal="center" vertical="center" wrapText="1"/>
    </xf>
    <xf numFmtId="168" fontId="5" fillId="5" borderId="1" xfId="7" applyNumberFormat="1" applyFont="1" applyFill="1" applyBorder="1" applyAlignment="1">
      <alignment horizontal="center" vertical="center"/>
    </xf>
    <xf numFmtId="168" fontId="5" fillId="5" borderId="1" xfId="15" applyNumberFormat="1" applyFill="1" applyBorder="1" applyAlignment="1">
      <alignment horizontal="center" vertical="center" wrapText="1"/>
    </xf>
    <xf numFmtId="168" fontId="5" fillId="0" borderId="1" xfId="15" applyNumberFormat="1" applyBorder="1" applyAlignment="1">
      <alignment horizontal="center" vertical="center"/>
    </xf>
    <xf numFmtId="4" fontId="5" fillId="5" borderId="1" xfId="4" applyNumberForma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/>
    </xf>
    <xf numFmtId="168" fontId="5" fillId="5" borderId="0" xfId="15" applyNumberFormat="1" applyFill="1" applyAlignment="1">
      <alignment horizontal="center" vertical="center" wrapText="1"/>
    </xf>
    <xf numFmtId="0" fontId="6" fillId="0" borderId="17" xfId="4" applyFont="1" applyBorder="1" applyAlignment="1">
      <alignment horizontal="center" vertical="center"/>
    </xf>
    <xf numFmtId="164" fontId="19" fillId="0" borderId="11" xfId="13" applyFont="1" applyBorder="1" applyAlignment="1">
      <alignment horizontal="right"/>
    </xf>
    <xf numFmtId="164" fontId="19" fillId="0" borderId="0" xfId="13" applyFont="1" applyBorder="1" applyAlignment="1">
      <alignment horizontal="right"/>
    </xf>
    <xf numFmtId="10" fontId="16" fillId="3" borderId="60" xfId="7" applyNumberFormat="1" applyFont="1" applyFill="1" applyBorder="1" applyAlignment="1">
      <alignment horizontal="right"/>
    </xf>
    <xf numFmtId="0" fontId="11" fillId="5" borderId="72" xfId="4" applyFont="1" applyFill="1" applyBorder="1" applyAlignment="1">
      <alignment horizontal="center" vertical="center" wrapText="1"/>
    </xf>
    <xf numFmtId="0" fontId="6" fillId="0" borderId="42" xfId="4" applyFont="1" applyBorder="1" applyAlignment="1">
      <alignment horizontal="center" vertical="center"/>
    </xf>
    <xf numFmtId="9" fontId="5" fillId="0" borderId="75" xfId="4" applyNumberFormat="1" applyBorder="1" applyAlignment="1">
      <alignment horizontal="center" vertical="center" wrapText="1"/>
    </xf>
    <xf numFmtId="9" fontId="5" fillId="0" borderId="75" xfId="4" applyNumberFormat="1" applyBorder="1" applyAlignment="1">
      <alignment horizontal="center" vertical="top" wrapText="1"/>
    </xf>
    <xf numFmtId="0" fontId="16" fillId="3" borderId="1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 wrapText="1"/>
    </xf>
    <xf numFmtId="10" fontId="11" fillId="0" borderId="1" xfId="7" applyNumberFormat="1" applyFont="1" applyBorder="1" applyAlignment="1">
      <alignment horizontal="right"/>
    </xf>
    <xf numFmtId="10" fontId="16" fillId="3" borderId="1" xfId="7" applyNumberFormat="1" applyFont="1" applyFill="1" applyBorder="1" applyAlignment="1">
      <alignment horizontal="center"/>
    </xf>
    <xf numFmtId="10" fontId="16" fillId="3" borderId="1" xfId="7" applyNumberFormat="1" applyFont="1" applyFill="1" applyBorder="1" applyAlignment="1">
      <alignment horizontal="center" vertical="center" wrapText="1"/>
    </xf>
    <xf numFmtId="0" fontId="6" fillId="0" borderId="1" xfId="4" applyFont="1" applyBorder="1" applyAlignment="1">
      <alignment vertical="top" wrapText="1"/>
    </xf>
    <xf numFmtId="17" fontId="6" fillId="0" borderId="37" xfId="4" applyNumberFormat="1" applyFont="1" applyBorder="1" applyAlignment="1">
      <alignment horizontal="justify" vertical="top" wrapText="1"/>
    </xf>
    <xf numFmtId="0" fontId="6" fillId="0" borderId="42" xfId="4" applyFont="1" applyBorder="1" applyAlignment="1">
      <alignment horizontal="center" vertical="top" wrapText="1"/>
    </xf>
    <xf numFmtId="0" fontId="6" fillId="0" borderId="38" xfId="4" applyFont="1" applyBorder="1" applyAlignment="1">
      <alignment horizontal="center" vertical="top" wrapText="1"/>
    </xf>
    <xf numFmtId="0" fontId="6" fillId="0" borderId="20" xfId="4" applyFont="1" applyBorder="1" applyAlignment="1">
      <alignment horizontal="center" vertical="top" wrapText="1"/>
    </xf>
    <xf numFmtId="0" fontId="5" fillId="0" borderId="22" xfId="4" applyBorder="1"/>
    <xf numFmtId="0" fontId="12" fillId="0" borderId="53" xfId="0" applyFont="1" applyBorder="1"/>
    <xf numFmtId="168" fontId="12" fillId="7" borderId="39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3" fillId="0" borderId="14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10" fontId="4" fillId="0" borderId="1" xfId="4" applyNumberFormat="1" applyFont="1" applyBorder="1" applyAlignment="1">
      <alignment horizontal="center" vertical="center"/>
    </xf>
    <xf numFmtId="10" fontId="4" fillId="0" borderId="1" xfId="4" applyNumberFormat="1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center" vertical="center"/>
    </xf>
    <xf numFmtId="4" fontId="3" fillId="0" borderId="1" xfId="4" applyNumberFormat="1" applyFont="1" applyBorder="1" applyAlignment="1">
      <alignment horizontal="right" vertical="center" wrapText="1"/>
    </xf>
    <xf numFmtId="4" fontId="20" fillId="0" borderId="1" xfId="4" applyNumberFormat="1" applyFont="1" applyBorder="1" applyAlignment="1">
      <alignment horizontal="right" vertical="center" wrapText="1"/>
    </xf>
    <xf numFmtId="164" fontId="3" fillId="0" borderId="1" xfId="4" applyNumberFormat="1" applyFont="1" applyBorder="1" applyAlignment="1">
      <alignment horizontal="center" vertical="center" wrapText="1"/>
    </xf>
    <xf numFmtId="4" fontId="4" fillId="0" borderId="1" xfId="4" applyNumberFormat="1" applyFont="1" applyBorder="1" applyAlignment="1">
      <alignment horizontal="right" vertical="center" wrapText="1"/>
    </xf>
    <xf numFmtId="3" fontId="4" fillId="0" borderId="1" xfId="4" applyNumberFormat="1" applyFont="1" applyBorder="1" applyAlignment="1">
      <alignment horizontal="center" vertical="center" wrapText="1"/>
    </xf>
    <xf numFmtId="4" fontId="4" fillId="0" borderId="5" xfId="4" applyNumberFormat="1" applyFont="1" applyBorder="1" applyAlignment="1">
      <alignment horizontal="right" vertical="center" wrapText="1"/>
    </xf>
    <xf numFmtId="4" fontId="4" fillId="0" borderId="0" xfId="4" applyNumberFormat="1" applyFont="1"/>
    <xf numFmtId="164" fontId="20" fillId="0" borderId="1" xfId="4" applyNumberFormat="1" applyFont="1" applyBorder="1" applyAlignment="1">
      <alignment horizontal="center" vertical="center" wrapText="1"/>
    </xf>
    <xf numFmtId="0" fontId="3" fillId="0" borderId="16" xfId="4" applyFont="1" applyBorder="1" applyAlignment="1">
      <alignment vertical="center"/>
    </xf>
    <xf numFmtId="0" fontId="3" fillId="0" borderId="17" xfId="4" applyFont="1" applyBorder="1" applyAlignment="1">
      <alignment vertical="center"/>
    </xf>
    <xf numFmtId="0" fontId="3" fillId="0" borderId="18" xfId="4" applyFont="1" applyBorder="1" applyAlignment="1">
      <alignment vertical="center"/>
    </xf>
    <xf numFmtId="4" fontId="3" fillId="0" borderId="9" xfId="4" applyNumberFormat="1" applyFont="1" applyBorder="1" applyAlignment="1">
      <alignment horizontal="right" vertical="center"/>
    </xf>
    <xf numFmtId="164" fontId="3" fillId="0" borderId="9" xfId="14" applyFont="1" applyFill="1" applyBorder="1" applyAlignment="1">
      <alignment horizontal="center" vertical="center"/>
    </xf>
    <xf numFmtId="164" fontId="3" fillId="0" borderId="16" xfId="14" applyFont="1" applyFill="1" applyBorder="1" applyAlignment="1">
      <alignment horizontal="center" vertical="center"/>
    </xf>
    <xf numFmtId="164" fontId="3" fillId="0" borderId="17" xfId="14" applyFont="1" applyFill="1" applyBorder="1" applyAlignment="1">
      <alignment horizontal="center" vertical="center"/>
    </xf>
    <xf numFmtId="3" fontId="3" fillId="0" borderId="9" xfId="4" applyNumberFormat="1" applyFont="1" applyBorder="1" applyAlignment="1">
      <alignment horizontal="center" vertical="center"/>
    </xf>
    <xf numFmtId="164" fontId="3" fillId="0" borderId="10" xfId="14" applyFont="1" applyFill="1" applyBorder="1" applyAlignment="1">
      <alignment vertical="center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4" applyFont="1" applyBorder="1" applyAlignment="1">
      <alignment horizontal="center" vertical="center" wrapText="1"/>
    </xf>
    <xf numFmtId="164" fontId="4" fillId="0" borderId="9" xfId="14" applyFont="1" applyFill="1" applyBorder="1" applyAlignment="1">
      <alignment horizontal="right" vertical="center"/>
    </xf>
    <xf numFmtId="164" fontId="4" fillId="0" borderId="9" xfId="14" applyFont="1" applyFill="1" applyBorder="1" applyAlignment="1">
      <alignment vertical="center"/>
    </xf>
    <xf numFmtId="4" fontId="3" fillId="0" borderId="10" xfId="4" applyNumberFormat="1" applyFont="1" applyBorder="1" applyAlignment="1">
      <alignment horizontal="right" vertical="center" wrapText="1"/>
    </xf>
    <xf numFmtId="164" fontId="4" fillId="0" borderId="9" xfId="14" applyFont="1" applyFill="1" applyBorder="1" applyAlignment="1">
      <alignment horizontal="center" vertical="center"/>
    </xf>
    <xf numFmtId="0" fontId="3" fillId="0" borderId="16" xfId="4" applyFont="1" applyBorder="1" applyAlignment="1">
      <alignment horizontal="center" vertical="center" wrapText="1"/>
    </xf>
    <xf numFmtId="164" fontId="3" fillId="0" borderId="44" xfId="14" applyFont="1" applyFill="1" applyBorder="1" applyAlignment="1">
      <alignment vertical="center"/>
    </xf>
    <xf numFmtId="164" fontId="3" fillId="0" borderId="45" xfId="14" applyFont="1" applyFill="1" applyBorder="1" applyAlignment="1">
      <alignment vertical="center"/>
    </xf>
    <xf numFmtId="164" fontId="13" fillId="0" borderId="24" xfId="14" applyFont="1" applyFill="1" applyBorder="1" applyAlignment="1">
      <alignment vertical="center"/>
    </xf>
    <xf numFmtId="164" fontId="13" fillId="0" borderId="23" xfId="14" applyFont="1" applyFill="1" applyBorder="1" applyAlignment="1">
      <alignment vertical="center"/>
    </xf>
    <xf numFmtId="164" fontId="4" fillId="0" borderId="0" xfId="4" applyNumberFormat="1" applyFont="1"/>
    <xf numFmtId="3" fontId="6" fillId="0" borderId="0" xfId="4" applyNumberFormat="1" applyFont="1" applyAlignment="1">
      <alignment horizontal="center"/>
    </xf>
    <xf numFmtId="0" fontId="5" fillId="0" borderId="0" xfId="4" applyAlignment="1">
      <alignment vertical="center" wrapText="1"/>
    </xf>
    <xf numFmtId="0" fontId="7" fillId="0" borderId="0" xfId="4" applyFont="1" applyAlignment="1">
      <alignment wrapText="1"/>
    </xf>
    <xf numFmtId="0" fontId="4" fillId="0" borderId="0" xfId="4" applyFont="1" applyAlignment="1">
      <alignment horizontal="left" vertical="center" wrapText="1"/>
    </xf>
    <xf numFmtId="2" fontId="4" fillId="0" borderId="0" xfId="4" applyNumberFormat="1" applyFont="1" applyAlignment="1">
      <alignment horizontal="left"/>
    </xf>
    <xf numFmtId="2" fontId="4" fillId="0" borderId="0" xfId="4" applyNumberFormat="1" applyFont="1"/>
    <xf numFmtId="43" fontId="4" fillId="0" borderId="0" xfId="4" applyNumberFormat="1" applyFont="1"/>
    <xf numFmtId="165" fontId="7" fillId="0" borderId="0" xfId="3" applyFont="1" applyFill="1" applyBorder="1" applyAlignment="1">
      <alignment wrapText="1"/>
    </xf>
    <xf numFmtId="166" fontId="6" fillId="0" borderId="10" xfId="4" applyNumberFormat="1" applyFont="1" applyBorder="1" applyAlignment="1">
      <alignment horizontal="right" wrapText="1"/>
    </xf>
    <xf numFmtId="164" fontId="3" fillId="0" borderId="9" xfId="14" applyFont="1" applyFill="1" applyBorder="1" applyAlignment="1">
      <alignment vertical="center"/>
    </xf>
    <xf numFmtId="0" fontId="29" fillId="9" borderId="1" xfId="4" applyFont="1" applyFill="1" applyBorder="1" applyAlignment="1">
      <alignment horizontal="center" vertical="center"/>
    </xf>
    <xf numFmtId="0" fontId="29" fillId="0" borderId="1" xfId="4" applyFont="1" applyBorder="1" applyAlignment="1">
      <alignment horizontal="center" vertical="center"/>
    </xf>
    <xf numFmtId="164" fontId="30" fillId="9" borderId="9" xfId="14" applyFont="1" applyFill="1" applyBorder="1" applyAlignment="1">
      <alignment horizontal="center" vertical="center"/>
    </xf>
    <xf numFmtId="164" fontId="30" fillId="9" borderId="9" xfId="14" applyFont="1" applyFill="1" applyBorder="1" applyAlignment="1">
      <alignment vertical="center"/>
    </xf>
    <xf numFmtId="0" fontId="24" fillId="9" borderId="72" xfId="0" applyFont="1" applyFill="1" applyBorder="1" applyAlignment="1">
      <alignment wrapText="1"/>
    </xf>
    <xf numFmtId="0" fontId="16" fillId="3" borderId="56" xfId="0" applyFont="1" applyFill="1" applyBorder="1" applyAlignment="1">
      <alignment horizontal="center" vertical="center" wrapText="1"/>
    </xf>
    <xf numFmtId="0" fontId="16" fillId="3" borderId="65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3" fontId="3" fillId="0" borderId="9" xfId="4" applyNumberFormat="1" applyFont="1" applyBorder="1" applyAlignment="1">
      <alignment horizontal="center" vertical="center" wrapText="1"/>
    </xf>
    <xf numFmtId="3" fontId="30" fillId="9" borderId="9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5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6" xfId="11" applyFont="1" applyFill="1" applyBorder="1" applyAlignment="1">
      <alignment horizontal="center" vertical="center"/>
    </xf>
    <xf numFmtId="164" fontId="3" fillId="0" borderId="17" xfId="11" applyFont="1" applyFill="1" applyBorder="1" applyAlignment="1">
      <alignment horizontal="center" vertical="center"/>
    </xf>
    <xf numFmtId="164" fontId="3" fillId="0" borderId="18" xfId="11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left" vertical="center" wrapText="1"/>
    </xf>
    <xf numFmtId="0" fontId="3" fillId="0" borderId="51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5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0" xfId="0" applyNumberFormat="1" applyFont="1" applyBorder="1" applyAlignment="1">
      <alignment horizontal="center" vertical="center"/>
    </xf>
    <xf numFmtId="164" fontId="5" fillId="0" borderId="54" xfId="0" applyNumberFormat="1" applyFont="1" applyBorder="1" applyAlignment="1">
      <alignment horizontal="center" vertical="center"/>
    </xf>
    <xf numFmtId="4" fontId="5" fillId="0" borderId="20" xfId="0" applyNumberFormat="1" applyFont="1" applyBorder="1" applyAlignment="1">
      <alignment horizontal="center" vertical="center" wrapText="1"/>
    </xf>
    <xf numFmtId="4" fontId="5" fillId="0" borderId="54" xfId="0" applyNumberFormat="1" applyFont="1" applyBorder="1" applyAlignment="1">
      <alignment horizontal="center" vertical="center" wrapText="1"/>
    </xf>
    <xf numFmtId="164" fontId="5" fillId="0" borderId="20" xfId="12" applyFont="1" applyFill="1" applyBorder="1" applyAlignment="1">
      <alignment horizontal="center" vertical="center"/>
    </xf>
    <xf numFmtId="164" fontId="5" fillId="0" borderId="54" xfId="12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6" fillId="0" borderId="1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54" xfId="0" applyFont="1" applyBorder="1" applyAlignment="1"/>
    <xf numFmtId="0" fontId="5" fillId="0" borderId="2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/>
    </xf>
    <xf numFmtId="164" fontId="5" fillId="0" borderId="22" xfId="0" applyNumberFormat="1" applyFont="1" applyBorder="1" applyAlignment="1">
      <alignment horizontal="center" vertical="center"/>
    </xf>
    <xf numFmtId="164" fontId="5" fillId="0" borderId="45" xfId="0" applyNumberFormat="1" applyFont="1" applyBorder="1" applyAlignment="1">
      <alignment horizontal="center" vertical="center"/>
    </xf>
    <xf numFmtId="164" fontId="5" fillId="0" borderId="44" xfId="0" applyNumberFormat="1" applyFont="1" applyBorder="1" applyAlignment="1">
      <alignment horizontal="center" vertical="center"/>
    </xf>
    <xf numFmtId="164" fontId="5" fillId="0" borderId="33" xfId="0" applyNumberFormat="1" applyFont="1" applyBorder="1" applyAlignment="1">
      <alignment horizontal="center" vertical="center"/>
    </xf>
    <xf numFmtId="0" fontId="5" fillId="0" borderId="33" xfId="0" applyFont="1" applyBorder="1" applyAlignment="1"/>
    <xf numFmtId="0" fontId="5" fillId="0" borderId="58" xfId="0" applyFont="1" applyBorder="1" applyAlignment="1">
      <alignment horizontal="center" vertical="center" wrapText="1"/>
    </xf>
    <xf numFmtId="4" fontId="5" fillId="0" borderId="44" xfId="0" applyNumberFormat="1" applyFont="1" applyBorder="1" applyAlignment="1">
      <alignment horizontal="center" vertical="center" wrapText="1"/>
    </xf>
    <xf numFmtId="164" fontId="5" fillId="0" borderId="20" xfId="12" applyFont="1" applyBorder="1" applyAlignment="1">
      <alignment horizontal="center" vertical="center"/>
    </xf>
    <xf numFmtId="164" fontId="5" fillId="0" borderId="44" xfId="12" applyFont="1" applyBorder="1" applyAlignment="1">
      <alignment horizontal="center" vertical="center"/>
    </xf>
    <xf numFmtId="0" fontId="12" fillId="0" borderId="0" xfId="0" applyFont="1" applyAlignment="1">
      <alignment horizontal="justify" vertical="center" wrapText="1"/>
    </xf>
    <xf numFmtId="0" fontId="5" fillId="0" borderId="5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54" xfId="0" applyFont="1" applyBorder="1" applyAlignment="1"/>
    <xf numFmtId="0" fontId="6" fillId="0" borderId="14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55" xfId="0" applyFont="1" applyBorder="1" applyAlignment="1">
      <alignment horizontal="center"/>
    </xf>
    <xf numFmtId="0" fontId="6" fillId="0" borderId="48" xfId="0" applyFont="1" applyBorder="1" applyAlignment="1">
      <alignment horizontal="center"/>
    </xf>
    <xf numFmtId="0" fontId="6" fillId="0" borderId="52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56" xfId="0" applyFont="1" applyBorder="1" applyAlignment="1">
      <alignment horizontal="left"/>
    </xf>
    <xf numFmtId="0" fontId="6" fillId="0" borderId="57" xfId="0" applyFont="1" applyBorder="1" applyAlignment="1">
      <alignment horizontal="left"/>
    </xf>
    <xf numFmtId="0" fontId="3" fillId="0" borderId="56" xfId="4" applyFont="1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66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wrapText="1"/>
    </xf>
    <xf numFmtId="0" fontId="5" fillId="0" borderId="57" xfId="0" applyFont="1" applyBorder="1" applyAlignment="1">
      <alignment horizontal="left" vertical="center" wrapText="1"/>
    </xf>
    <xf numFmtId="0" fontId="5" fillId="0" borderId="6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53" xfId="0" applyFont="1" applyBorder="1" applyAlignment="1">
      <alignment horizontal="left" vertical="center" wrapText="1"/>
    </xf>
    <xf numFmtId="0" fontId="3" fillId="0" borderId="49" xfId="4" applyFont="1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25" fillId="0" borderId="56" xfId="4" applyFont="1" applyBorder="1" applyAlignment="1">
      <alignment horizontal="left" vertical="center" wrapText="1"/>
    </xf>
    <xf numFmtId="0" fontId="3" fillId="0" borderId="0" xfId="4" applyFont="1" applyAlignment="1">
      <alignment horizontal="justify" vertical="center" wrapText="1"/>
    </xf>
    <xf numFmtId="0" fontId="11" fillId="0" borderId="0" xfId="4" applyFont="1" applyAlignment="1">
      <alignment horizontal="justify" vertical="center" wrapText="1"/>
    </xf>
    <xf numFmtId="0" fontId="4" fillId="0" borderId="32" xfId="4" applyFont="1" applyBorder="1" applyAlignment="1">
      <alignment horizontal="center" vertical="center" wrapText="1"/>
    </xf>
    <xf numFmtId="0" fontId="4" fillId="0" borderId="54" xfId="4" applyFont="1" applyBorder="1" applyAlignment="1">
      <alignment horizontal="center" vertical="center" wrapText="1"/>
    </xf>
    <xf numFmtId="0" fontId="4" fillId="0" borderId="4" xfId="4" applyFont="1" applyBorder="1" applyAlignment="1">
      <alignment horizontal="center" vertical="center" wrapText="1"/>
    </xf>
    <xf numFmtId="0" fontId="4" fillId="0" borderId="1" xfId="4" applyFont="1" applyBorder="1" applyAlignment="1">
      <alignment horizontal="center" vertical="center" wrapText="1"/>
    </xf>
    <xf numFmtId="0" fontId="3" fillId="0" borderId="74" xfId="4" applyFont="1" applyBorder="1" applyAlignment="1">
      <alignment horizontal="center" vertical="center" wrapText="1"/>
    </xf>
    <xf numFmtId="0" fontId="3" fillId="0" borderId="67" xfId="4" applyFont="1" applyBorder="1" applyAlignment="1">
      <alignment horizontal="center" vertical="center" wrapText="1"/>
    </xf>
    <xf numFmtId="0" fontId="3" fillId="0" borderId="41" xfId="4" applyFont="1" applyBorder="1" applyAlignment="1">
      <alignment horizontal="center" vertical="center" wrapText="1"/>
    </xf>
    <xf numFmtId="0" fontId="3" fillId="0" borderId="54" xfId="4" applyFont="1" applyBorder="1" applyAlignment="1">
      <alignment horizontal="center" vertical="center" wrapText="1"/>
    </xf>
    <xf numFmtId="0" fontId="4" fillId="0" borderId="27" xfId="4" applyFont="1" applyBorder="1" applyAlignment="1">
      <alignment horizontal="center" vertical="center" wrapText="1"/>
    </xf>
    <xf numFmtId="0" fontId="4" fillId="0" borderId="20" xfId="4" applyFont="1" applyBorder="1" applyAlignment="1">
      <alignment horizontal="center" vertical="center" wrapText="1"/>
    </xf>
    <xf numFmtId="0" fontId="4" fillId="0" borderId="6" xfId="4" applyFont="1" applyBorder="1" applyAlignment="1">
      <alignment horizontal="center" vertical="center" wrapText="1"/>
    </xf>
    <xf numFmtId="0" fontId="4" fillId="0" borderId="8" xfId="4" applyFont="1" applyBorder="1" applyAlignment="1">
      <alignment horizontal="center" vertical="center" wrapText="1"/>
    </xf>
    <xf numFmtId="0" fontId="13" fillId="0" borderId="1" xfId="4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53" xfId="4" applyFont="1" applyBorder="1" applyAlignment="1">
      <alignment horizontal="center" vertical="center"/>
    </xf>
    <xf numFmtId="0" fontId="4" fillId="0" borderId="59" xfId="4" applyFont="1" applyBorder="1" applyAlignment="1">
      <alignment horizontal="center" vertical="center" wrapText="1"/>
    </xf>
    <xf numFmtId="0" fontId="4" fillId="0" borderId="33" xfId="4" applyFont="1" applyBorder="1" applyAlignment="1">
      <alignment horizontal="center" vertical="center" wrapText="1"/>
    </xf>
    <xf numFmtId="0" fontId="20" fillId="0" borderId="20" xfId="4" applyFont="1" applyBorder="1" applyAlignment="1">
      <alignment horizontal="center" vertical="center" wrapText="1"/>
    </xf>
    <xf numFmtId="0" fontId="20" fillId="0" borderId="27" xfId="4" applyFont="1" applyBorder="1" applyAlignment="1">
      <alignment horizontal="center" vertical="center" wrapText="1"/>
    </xf>
    <xf numFmtId="0" fontId="20" fillId="0" borderId="54" xfId="4" applyFont="1" applyBorder="1" applyAlignment="1">
      <alignment horizontal="center" vertical="center" wrapText="1"/>
    </xf>
    <xf numFmtId="0" fontId="3" fillId="0" borderId="16" xfId="4" applyFont="1" applyBorder="1" applyAlignment="1">
      <alignment horizontal="center" vertical="center"/>
    </xf>
    <xf numFmtId="0" fontId="3" fillId="0" borderId="17" xfId="4" applyFont="1" applyBorder="1" applyAlignment="1">
      <alignment horizontal="center" vertical="center"/>
    </xf>
    <xf numFmtId="0" fontId="6" fillId="0" borderId="37" xfId="4" applyFont="1" applyBorder="1" applyAlignment="1">
      <alignment horizontal="left"/>
    </xf>
    <xf numFmtId="0" fontId="6" fillId="0" borderId="42" xfId="4" applyFont="1" applyBorder="1" applyAlignment="1">
      <alignment horizontal="left"/>
    </xf>
    <xf numFmtId="0" fontId="6" fillId="0" borderId="6" xfId="4" applyFont="1" applyBorder="1" applyAlignment="1">
      <alignment horizontal="left"/>
    </xf>
    <xf numFmtId="0" fontId="6" fillId="0" borderId="8" xfId="4" applyFont="1" applyBorder="1" applyAlignment="1">
      <alignment horizontal="left"/>
    </xf>
    <xf numFmtId="0" fontId="15" fillId="0" borderId="14" xfId="4" applyFont="1" applyBorder="1" applyAlignment="1">
      <alignment horizontal="center" wrapText="1"/>
    </xf>
    <xf numFmtId="0" fontId="16" fillId="3" borderId="56" xfId="4" applyFont="1" applyFill="1" applyBorder="1" applyAlignment="1">
      <alignment horizontal="center" vertical="center" wrapText="1"/>
    </xf>
    <xf numFmtId="0" fontId="16" fillId="3" borderId="57" xfId="4" applyFont="1" applyFill="1" applyBorder="1" applyAlignment="1">
      <alignment horizontal="center" vertical="center" wrapText="1"/>
    </xf>
    <xf numFmtId="0" fontId="16" fillId="3" borderId="66" xfId="4" applyFont="1" applyFill="1" applyBorder="1" applyAlignment="1">
      <alignment horizontal="center" vertical="center" wrapText="1"/>
    </xf>
    <xf numFmtId="0" fontId="16" fillId="3" borderId="40" xfId="4" applyFont="1" applyFill="1" applyBorder="1" applyAlignment="1">
      <alignment horizontal="center" vertical="center" wrapText="1"/>
    </xf>
    <xf numFmtId="0" fontId="16" fillId="3" borderId="67" xfId="4" applyFont="1" applyFill="1" applyBorder="1" applyAlignment="1">
      <alignment horizontal="center" vertical="center" wrapText="1"/>
    </xf>
    <xf numFmtId="0" fontId="16" fillId="3" borderId="41" xfId="4" applyFont="1" applyFill="1" applyBorder="1" applyAlignment="1">
      <alignment horizontal="center" vertical="center" wrapText="1"/>
    </xf>
    <xf numFmtId="0" fontId="16" fillId="3" borderId="65" xfId="4" applyFont="1" applyFill="1" applyBorder="1" applyAlignment="1">
      <alignment horizontal="center" vertical="center" wrapText="1"/>
    </xf>
    <xf numFmtId="0" fontId="16" fillId="3" borderId="68" xfId="4" applyFont="1" applyFill="1" applyBorder="1" applyAlignment="1">
      <alignment horizontal="center" vertical="center" wrapText="1"/>
    </xf>
    <xf numFmtId="0" fontId="6" fillId="0" borderId="4" xfId="4" applyFont="1" applyBorder="1" applyAlignment="1">
      <alignment horizontal="center"/>
    </xf>
    <xf numFmtId="0" fontId="6" fillId="0" borderId="1" xfId="4" applyFont="1" applyBorder="1" applyAlignment="1">
      <alignment horizontal="center"/>
    </xf>
    <xf numFmtId="0" fontId="16" fillId="3" borderId="11" xfId="4" applyFont="1" applyFill="1" applyBorder="1" applyAlignment="1">
      <alignment horizontal="center" vertical="center" wrapText="1"/>
    </xf>
    <xf numFmtId="0" fontId="16" fillId="3" borderId="0" xfId="4" applyFont="1" applyFill="1" applyAlignment="1">
      <alignment horizontal="center" vertical="center" wrapText="1"/>
    </xf>
    <xf numFmtId="0" fontId="16" fillId="3" borderId="26" xfId="0" applyFont="1" applyFill="1" applyBorder="1" applyAlignment="1">
      <alignment horizontal="center"/>
    </xf>
    <xf numFmtId="0" fontId="16" fillId="3" borderId="27" xfId="0" applyFont="1" applyFill="1" applyBorder="1" applyAlignment="1">
      <alignment horizontal="center"/>
    </xf>
    <xf numFmtId="0" fontId="16" fillId="3" borderId="60" xfId="0" applyFont="1" applyFill="1" applyBorder="1" applyAlignment="1">
      <alignment horizontal="center"/>
    </xf>
    <xf numFmtId="0" fontId="16" fillId="3" borderId="12" xfId="0" applyFont="1" applyFill="1" applyBorder="1" applyAlignment="1">
      <alignment horizontal="center"/>
    </xf>
    <xf numFmtId="10" fontId="11" fillId="0" borderId="60" xfId="7" applyNumberFormat="1" applyFont="1" applyBorder="1" applyAlignment="1">
      <alignment horizontal="right"/>
    </xf>
    <xf numFmtId="10" fontId="11" fillId="0" borderId="12" xfId="7" applyNumberFormat="1" applyFont="1" applyBorder="1" applyAlignment="1">
      <alignment horizontal="right"/>
    </xf>
    <xf numFmtId="0" fontId="15" fillId="0" borderId="61" xfId="0" applyFont="1" applyBorder="1" applyAlignment="1">
      <alignment horizontal="center" wrapText="1"/>
    </xf>
    <xf numFmtId="0" fontId="15" fillId="0" borderId="62" xfId="0" applyFont="1" applyBorder="1" applyAlignment="1">
      <alignment horizontal="center" wrapText="1"/>
    </xf>
    <xf numFmtId="0" fontId="15" fillId="0" borderId="25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6" fillId="3" borderId="63" xfId="0" applyFont="1" applyFill="1" applyBorder="1" applyAlignment="1">
      <alignment horizontal="center" vertical="center" wrapText="1"/>
    </xf>
    <xf numFmtId="0" fontId="16" fillId="3" borderId="26" xfId="0" applyFont="1" applyFill="1" applyBorder="1" applyAlignment="1">
      <alignment horizontal="center" vertical="center" wrapText="1"/>
    </xf>
    <xf numFmtId="0" fontId="16" fillId="3" borderId="64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3" borderId="11" xfId="0" applyFont="1" applyFill="1" applyBorder="1" applyAlignment="1">
      <alignment horizontal="left"/>
    </xf>
    <xf numFmtId="0" fontId="16" fillId="3" borderId="39" xfId="0" applyFont="1" applyFill="1" applyBorder="1" applyAlignment="1">
      <alignment horizontal="left"/>
    </xf>
    <xf numFmtId="10" fontId="16" fillId="3" borderId="60" xfId="7" applyNumberFormat="1" applyFont="1" applyFill="1" applyBorder="1" applyAlignment="1">
      <alignment horizontal="center"/>
    </xf>
    <xf numFmtId="10" fontId="16" fillId="3" borderId="12" xfId="7" applyNumberFormat="1" applyFont="1" applyFill="1" applyBorder="1" applyAlignment="1">
      <alignment horizontal="center"/>
    </xf>
    <xf numFmtId="10" fontId="11" fillId="0" borderId="75" xfId="7" applyNumberFormat="1" applyFont="1" applyBorder="1" applyAlignment="1">
      <alignment horizontal="center"/>
    </xf>
    <xf numFmtId="10" fontId="11" fillId="0" borderId="8" xfId="7" applyNumberFormat="1" applyFont="1" applyBorder="1" applyAlignment="1">
      <alignment horizontal="center"/>
    </xf>
    <xf numFmtId="0" fontId="16" fillId="3" borderId="13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left" wrapText="1"/>
    </xf>
    <xf numFmtId="0" fontId="16" fillId="3" borderId="39" xfId="0" applyFont="1" applyFill="1" applyBorder="1" applyAlignment="1">
      <alignment horizontal="left" wrapText="1"/>
    </xf>
    <xf numFmtId="0" fontId="12" fillId="8" borderId="27" xfId="0" applyFont="1" applyFill="1" applyBorder="1" applyAlignment="1">
      <alignment wrapText="1"/>
    </xf>
    <xf numFmtId="0" fontId="12" fillId="8" borderId="59" xfId="0" applyFont="1" applyFill="1" applyBorder="1" applyAlignment="1">
      <alignment wrapText="1"/>
    </xf>
    <xf numFmtId="0" fontId="5" fillId="0" borderId="26" xfId="4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5" fillId="0" borderId="54" xfId="4" applyBorder="1" applyAlignment="1">
      <alignment horizontal="center" vertical="center"/>
    </xf>
    <xf numFmtId="0" fontId="5" fillId="0" borderId="69" xfId="4" applyBorder="1" applyAlignment="1">
      <alignment horizontal="center" vertical="center" wrapText="1"/>
    </xf>
    <xf numFmtId="0" fontId="5" fillId="0" borderId="15" xfId="4" applyBorder="1" applyAlignment="1">
      <alignment horizontal="center" vertical="center" wrapText="1"/>
    </xf>
    <xf numFmtId="0" fontId="12" fillId="7" borderId="49" xfId="0" applyFont="1" applyFill="1" applyBorder="1" applyAlignment="1">
      <alignment wrapText="1"/>
    </xf>
    <xf numFmtId="0" fontId="12" fillId="7" borderId="50" xfId="0" applyFont="1" applyFill="1" applyBorder="1" applyAlignment="1">
      <alignment wrapText="1"/>
    </xf>
    <xf numFmtId="0" fontId="12" fillId="7" borderId="71" xfId="0" applyFont="1" applyFill="1" applyBorder="1" applyAlignment="1">
      <alignment wrapText="1"/>
    </xf>
    <xf numFmtId="0" fontId="12" fillId="8" borderId="56" xfId="0" applyFont="1" applyFill="1" applyBorder="1" applyAlignment="1">
      <alignment wrapText="1"/>
    </xf>
    <xf numFmtId="0" fontId="12" fillId="8" borderId="66" xfId="0" applyFont="1" applyFill="1" applyBorder="1" applyAlignment="1">
      <alignment wrapText="1"/>
    </xf>
    <xf numFmtId="0" fontId="12" fillId="8" borderId="11" xfId="0" applyFont="1" applyFill="1" applyBorder="1" applyAlignment="1">
      <alignment wrapText="1"/>
    </xf>
    <xf numFmtId="0" fontId="12" fillId="8" borderId="39" xfId="0" applyFont="1" applyFill="1" applyBorder="1" applyAlignment="1">
      <alignment wrapText="1"/>
    </xf>
    <xf numFmtId="0" fontId="12" fillId="7" borderId="49" xfId="0" applyFont="1" applyFill="1" applyBorder="1" applyAlignment="1">
      <alignment horizontal="center" wrapText="1"/>
    </xf>
    <xf numFmtId="0" fontId="12" fillId="7" borderId="50" xfId="0" applyFont="1" applyFill="1" applyBorder="1" applyAlignment="1">
      <alignment horizontal="center" wrapText="1"/>
    </xf>
    <xf numFmtId="0" fontId="12" fillId="7" borderId="71" xfId="0" applyFont="1" applyFill="1" applyBorder="1" applyAlignment="1">
      <alignment horizontal="center" wrapText="1"/>
    </xf>
    <xf numFmtId="0" fontId="12" fillId="8" borderId="26" xfId="0" applyFont="1" applyFill="1" applyBorder="1" applyAlignment="1">
      <alignment horizontal="center" vertical="center" wrapText="1"/>
    </xf>
    <xf numFmtId="0" fontId="12" fillId="8" borderId="27" xfId="0" applyFont="1" applyFill="1" applyBorder="1" applyAlignment="1">
      <alignment horizontal="center" vertical="center" wrapText="1"/>
    </xf>
    <xf numFmtId="0" fontId="12" fillId="8" borderId="59" xfId="0" applyFont="1" applyFill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top" wrapText="1"/>
    </xf>
    <xf numFmtId="0" fontId="6" fillId="0" borderId="55" xfId="4" applyFont="1" applyBorder="1" applyAlignment="1">
      <alignment horizontal="center" vertical="center" wrapText="1"/>
    </xf>
    <xf numFmtId="0" fontId="6" fillId="0" borderId="47" xfId="4" applyFont="1" applyBorder="1" applyAlignment="1">
      <alignment horizontal="center" vertical="center" wrapText="1"/>
    </xf>
    <xf numFmtId="0" fontId="6" fillId="0" borderId="70" xfId="4" applyFont="1" applyBorder="1" applyAlignment="1">
      <alignment horizontal="center" vertical="center" wrapText="1"/>
    </xf>
    <xf numFmtId="0" fontId="5" fillId="0" borderId="1" xfId="4" applyBorder="1" applyAlignment="1">
      <alignment horizontal="center" vertical="center" wrapText="1"/>
    </xf>
    <xf numFmtId="0" fontId="29" fillId="9" borderId="1" xfId="4" applyFont="1" applyFill="1" applyBorder="1" applyAlignment="1">
      <alignment horizontal="center" vertical="center" wrapText="1"/>
    </xf>
    <xf numFmtId="0" fontId="6" fillId="0" borderId="36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5" fillId="0" borderId="4" xfId="4" applyBorder="1" applyAlignment="1">
      <alignment horizontal="center" vertical="center" wrapText="1"/>
    </xf>
    <xf numFmtId="0" fontId="10" fillId="0" borderId="0" xfId="4" applyFont="1" applyAlignment="1">
      <alignment horizontal="left"/>
    </xf>
    <xf numFmtId="0" fontId="6" fillId="0" borderId="52" xfId="4" applyFont="1" applyBorder="1" applyAlignment="1">
      <alignment horizontal="center"/>
    </xf>
    <xf numFmtId="0" fontId="6" fillId="0" borderId="17" xfId="4" applyFont="1" applyBorder="1" applyAlignment="1">
      <alignment horizontal="center"/>
    </xf>
    <xf numFmtId="0" fontId="6" fillId="0" borderId="18" xfId="4" applyFont="1" applyBorder="1" applyAlignment="1">
      <alignment horizontal="center"/>
    </xf>
    <xf numFmtId="0" fontId="5" fillId="0" borderId="36" xfId="4" applyBorder="1" applyAlignment="1">
      <alignment horizontal="center" vertical="center" wrapText="1"/>
    </xf>
    <xf numFmtId="0" fontId="5" fillId="0" borderId="2" xfId="4" applyBorder="1" applyAlignment="1">
      <alignment horizontal="center" vertical="center" wrapText="1"/>
    </xf>
    <xf numFmtId="0" fontId="5" fillId="0" borderId="5" xfId="4" applyBorder="1" applyAlignment="1">
      <alignment horizontal="center" vertical="center" wrapText="1"/>
    </xf>
    <xf numFmtId="0" fontId="5" fillId="0" borderId="3" xfId="4" applyBorder="1" applyAlignment="1">
      <alignment horizontal="center" vertical="center" wrapText="1"/>
    </xf>
    <xf numFmtId="0" fontId="6" fillId="0" borderId="52" xfId="4" applyFont="1" applyBorder="1" applyAlignment="1">
      <alignment horizontal="center" vertical="center"/>
    </xf>
    <xf numFmtId="0" fontId="6" fillId="0" borderId="17" xfId="4" applyFont="1" applyBorder="1" applyAlignment="1">
      <alignment horizontal="center" vertical="center"/>
    </xf>
    <xf numFmtId="0" fontId="6" fillId="0" borderId="18" xfId="4" applyFont="1" applyBorder="1" applyAlignment="1">
      <alignment horizontal="center" vertical="center"/>
    </xf>
    <xf numFmtId="0" fontId="6" fillId="0" borderId="6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5" fillId="4" borderId="36" xfId="4" applyFill="1" applyBorder="1" applyAlignment="1">
      <alignment horizontal="center" vertical="center" wrapText="1"/>
    </xf>
    <xf numFmtId="0" fontId="5" fillId="4" borderId="4" xfId="4" applyFill="1" applyBorder="1" applyAlignment="1">
      <alignment horizontal="center" vertical="center" wrapText="1"/>
    </xf>
    <xf numFmtId="0" fontId="5" fillId="4" borderId="2" xfId="4" applyFill="1" applyBorder="1" applyAlignment="1">
      <alignment horizontal="center" vertical="center" wrapText="1"/>
    </xf>
    <xf numFmtId="0" fontId="5" fillId="4" borderId="1" xfId="4" applyFill="1" applyBorder="1" applyAlignment="1">
      <alignment horizontal="center" vertical="center" wrapText="1"/>
    </xf>
    <xf numFmtId="0" fontId="5" fillId="4" borderId="3" xfId="4" applyFill="1" applyBorder="1" applyAlignment="1">
      <alignment horizontal="center" vertical="center" wrapText="1"/>
    </xf>
    <xf numFmtId="0" fontId="5" fillId="4" borderId="5" xfId="4" applyFill="1" applyBorder="1" applyAlignment="1">
      <alignment horizontal="center" vertical="center" wrapText="1"/>
    </xf>
    <xf numFmtId="0" fontId="5" fillId="4" borderId="64" xfId="4" applyFill="1" applyBorder="1" applyAlignment="1">
      <alignment horizontal="center" vertical="center" wrapText="1"/>
    </xf>
    <xf numFmtId="0" fontId="5" fillId="4" borderId="54" xfId="4" applyFill="1" applyBorder="1" applyAlignment="1">
      <alignment horizontal="center" vertical="center" wrapText="1"/>
    </xf>
    <xf numFmtId="0" fontId="3" fillId="0" borderId="14" xfId="4" applyFont="1" applyBorder="1" applyAlignment="1">
      <alignment horizontal="center"/>
    </xf>
    <xf numFmtId="0" fontId="6" fillId="0" borderId="4" xfId="4" applyFont="1" applyBorder="1" applyAlignment="1">
      <alignment horizontal="justify" vertical="center" wrapText="1"/>
    </xf>
    <xf numFmtId="0" fontId="6" fillId="2" borderId="4" xfId="4" applyFont="1" applyFill="1" applyBorder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52" xfId="4" applyFont="1" applyFill="1" applyBorder="1" applyAlignment="1">
      <alignment horizontal="center" vertical="center" wrapText="1"/>
    </xf>
    <xf numFmtId="0" fontId="6" fillId="2" borderId="17" xfId="4" applyFont="1" applyFill="1" applyBorder="1" applyAlignment="1">
      <alignment horizontal="center" vertical="center" wrapText="1"/>
    </xf>
    <xf numFmtId="0" fontId="6" fillId="2" borderId="18" xfId="4" applyFont="1" applyFill="1" applyBorder="1" applyAlignment="1">
      <alignment horizontal="center" vertical="center" wrapText="1"/>
    </xf>
    <xf numFmtId="0" fontId="6" fillId="11" borderId="1" xfId="15" applyFont="1" applyFill="1" applyBorder="1" applyAlignment="1">
      <alignment horizontal="center" vertical="center" wrapText="1"/>
    </xf>
    <xf numFmtId="0" fontId="6" fillId="10" borderId="56" xfId="15" applyFont="1" applyFill="1" applyBorder="1" applyAlignment="1">
      <alignment horizontal="center" vertical="center" wrapText="1"/>
    </xf>
    <xf numFmtId="0" fontId="6" fillId="10" borderId="57" xfId="15" applyFont="1" applyFill="1" applyBorder="1" applyAlignment="1">
      <alignment horizontal="center" vertical="center" wrapText="1"/>
    </xf>
    <xf numFmtId="0" fontId="6" fillId="10" borderId="65" xfId="15" applyFont="1" applyFill="1" applyBorder="1" applyAlignment="1">
      <alignment horizontal="center" vertical="center" wrapText="1"/>
    </xf>
    <xf numFmtId="0" fontId="6" fillId="10" borderId="13" xfId="15" applyFont="1" applyFill="1" applyBorder="1" applyAlignment="1">
      <alignment horizontal="center" vertical="center" wrapText="1"/>
    </xf>
    <xf numFmtId="0" fontId="6" fillId="10" borderId="0" xfId="15" applyFont="1" applyFill="1" applyAlignment="1">
      <alignment horizontal="center" vertical="center" wrapText="1"/>
    </xf>
    <xf numFmtId="0" fontId="6" fillId="10" borderId="15" xfId="15" applyFont="1" applyFill="1" applyBorder="1" applyAlignment="1">
      <alignment horizontal="center" vertical="center" wrapText="1"/>
    </xf>
    <xf numFmtId="0" fontId="6" fillId="11" borderId="36" xfId="15" applyFont="1" applyFill="1" applyBorder="1" applyAlignment="1">
      <alignment horizontal="center" vertical="center" wrapText="1"/>
    </xf>
    <xf numFmtId="0" fontId="6" fillId="11" borderId="4" xfId="15" applyFont="1" applyFill="1" applyBorder="1" applyAlignment="1">
      <alignment horizontal="center" vertical="center" wrapText="1"/>
    </xf>
    <xf numFmtId="0" fontId="6" fillId="10" borderId="1" xfId="15" applyFont="1" applyFill="1" applyBorder="1" applyAlignment="1">
      <alignment horizontal="center" vertical="center" wrapText="1"/>
    </xf>
    <xf numFmtId="0" fontId="6" fillId="11" borderId="3" xfId="15" applyFont="1" applyFill="1" applyBorder="1" applyAlignment="1">
      <alignment horizontal="center" vertical="center" wrapText="1"/>
    </xf>
    <xf numFmtId="0" fontId="6" fillId="11" borderId="5" xfId="15" applyFont="1" applyFill="1" applyBorder="1" applyAlignment="1">
      <alignment horizontal="center" vertical="center" wrapText="1"/>
    </xf>
  </cellXfs>
  <cellStyles count="16">
    <cellStyle name="Moeda" xfId="1" builtinId="4"/>
    <cellStyle name="Moeda 2" xfId="2" xr:uid="{00000000-0005-0000-0000-000002000000}"/>
    <cellStyle name="Moeda 3" xfId="3" xr:uid="{00000000-0005-0000-0000-000003000000}"/>
    <cellStyle name="Normal" xfId="0" builtinId="0"/>
    <cellStyle name="Normal 2" xfId="4" xr:uid="{00000000-0005-0000-0000-000005000000}"/>
    <cellStyle name="Normal 2 2" xfId="15" xr:uid="{BECB025E-E797-4AC5-A11D-8A123AB439C9}"/>
    <cellStyle name="Porcentagem" xfId="5" builtinId="5"/>
    <cellStyle name="Porcentagem 2" xfId="6" xr:uid="{00000000-0005-0000-0000-000007000000}"/>
    <cellStyle name="Porcentagem 2 2" xfId="7" xr:uid="{00000000-0005-0000-0000-000008000000}"/>
    <cellStyle name="Porcentagem 2 2 2" xfId="8" xr:uid="{00000000-0005-0000-0000-000009000000}"/>
    <cellStyle name="Porcentagem 3" xfId="9" xr:uid="{00000000-0005-0000-0000-00000A000000}"/>
    <cellStyle name="Porcentagem 4" xfId="10" xr:uid="{00000000-0005-0000-0000-00000B000000}"/>
    <cellStyle name="Vírgula" xfId="11" builtinId="3"/>
    <cellStyle name="Vírgula 2" xfId="12" xr:uid="{00000000-0005-0000-0000-00000C000000}"/>
    <cellStyle name="Vírgula 2 2" xfId="13" xr:uid="{00000000-0005-0000-0000-00000D000000}"/>
    <cellStyle name="Vírgula 3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361950</xdr:colOff>
      <xdr:row>20</xdr:row>
      <xdr:rowOff>0</xdr:rowOff>
    </xdr:from>
    <xdr:to>
      <xdr:col>20</xdr:col>
      <xdr:colOff>647700</xdr:colOff>
      <xdr:row>20</xdr:row>
      <xdr:rowOff>0</xdr:rowOff>
    </xdr:to>
    <xdr:sp macro="" textlink="">
      <xdr:nvSpPr>
        <xdr:cNvPr id="12526" name="AutoShape 1">
          <a:extLst>
            <a:ext uri="{FF2B5EF4-FFF2-40B4-BE49-F238E27FC236}">
              <a16:creationId xmlns:a16="http://schemas.microsoft.com/office/drawing/2014/main" id="{79DAD60D-E88C-46A9-A813-EB83B619A239}"/>
            </a:ext>
          </a:extLst>
        </xdr:cNvPr>
        <xdr:cNvSpPr>
          <a:spLocks noChangeArrowheads="1"/>
        </xdr:cNvSpPr>
      </xdr:nvSpPr>
      <xdr:spPr bwMode="auto">
        <a:xfrm>
          <a:off x="18697575" y="11753850"/>
          <a:ext cx="1352550" cy="0"/>
        </a:xfrm>
        <a:prstGeom prst="bracePair">
          <a:avLst>
            <a:gd name="adj" fmla="val 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361950</xdr:colOff>
      <xdr:row>26</xdr:row>
      <xdr:rowOff>0</xdr:rowOff>
    </xdr:from>
    <xdr:to>
      <xdr:col>18</xdr:col>
      <xdr:colOff>647700</xdr:colOff>
      <xdr:row>26</xdr:row>
      <xdr:rowOff>0</xdr:rowOff>
    </xdr:to>
    <xdr:sp macro="" textlink="">
      <xdr:nvSpPr>
        <xdr:cNvPr id="22625" name="AutoShape 1">
          <a:extLst>
            <a:ext uri="{FF2B5EF4-FFF2-40B4-BE49-F238E27FC236}">
              <a16:creationId xmlns:a16="http://schemas.microsoft.com/office/drawing/2014/main" id="{850B859F-AB50-4D7C-8DA7-E3AE50C60D91}"/>
            </a:ext>
          </a:extLst>
        </xdr:cNvPr>
        <xdr:cNvSpPr>
          <a:spLocks noChangeArrowheads="1"/>
        </xdr:cNvSpPr>
      </xdr:nvSpPr>
      <xdr:spPr bwMode="auto">
        <a:xfrm>
          <a:off x="15830550" y="13201650"/>
          <a:ext cx="1352550" cy="0"/>
        </a:xfrm>
        <a:prstGeom prst="bracePair">
          <a:avLst>
            <a:gd name="adj" fmla="val 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76200</xdr:colOff>
      <xdr:row>30</xdr:row>
      <xdr:rowOff>152400</xdr:rowOff>
    </xdr:from>
    <xdr:to>
      <xdr:col>9</xdr:col>
      <xdr:colOff>352425</xdr:colOff>
      <xdr:row>35</xdr:row>
      <xdr:rowOff>66675</xdr:rowOff>
    </xdr:to>
    <xdr:pic>
      <xdr:nvPicPr>
        <xdr:cNvPr id="28731" name="Imagem 1">
          <a:extLst>
            <a:ext uri="{FF2B5EF4-FFF2-40B4-BE49-F238E27FC236}">
              <a16:creationId xmlns:a16="http://schemas.microsoft.com/office/drawing/2014/main" id="{32B30573-5FBA-4C75-B1F1-57C7F7249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3150" y="5829300"/>
          <a:ext cx="23717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361950</xdr:colOff>
      <xdr:row>0</xdr:row>
      <xdr:rowOff>0</xdr:rowOff>
    </xdr:from>
    <xdr:to>
      <xdr:col>20</xdr:col>
      <xdr:colOff>647700</xdr:colOff>
      <xdr:row>0</xdr:row>
      <xdr:rowOff>0</xdr:rowOff>
    </xdr:to>
    <xdr:sp macro="" textlink="">
      <xdr:nvSpPr>
        <xdr:cNvPr id="24662" name="AutoShape 1">
          <a:extLst>
            <a:ext uri="{FF2B5EF4-FFF2-40B4-BE49-F238E27FC236}">
              <a16:creationId xmlns:a16="http://schemas.microsoft.com/office/drawing/2014/main" id="{96C23A60-98AB-4077-8820-ACDE8E3923FE}"/>
            </a:ext>
          </a:extLst>
        </xdr:cNvPr>
        <xdr:cNvSpPr>
          <a:spLocks noChangeArrowheads="1"/>
        </xdr:cNvSpPr>
      </xdr:nvSpPr>
      <xdr:spPr bwMode="auto">
        <a:xfrm>
          <a:off x="19640550" y="0"/>
          <a:ext cx="1190625" cy="0"/>
        </a:xfrm>
        <a:prstGeom prst="bracePair">
          <a:avLst>
            <a:gd name="adj" fmla="val 833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0"/>
  <sheetViews>
    <sheetView showGridLines="0" topLeftCell="K10" zoomScaleNormal="70" workbookViewId="0">
      <selection activeCell="S1" sqref="S1:W1"/>
    </sheetView>
  </sheetViews>
  <sheetFormatPr defaultRowHeight="15" x14ac:dyDescent="0.2"/>
  <cols>
    <col min="1" max="1" width="9.140625" style="1"/>
    <col min="2" max="2" width="11.140625" style="1" customWidth="1"/>
    <col min="3" max="3" width="13.85546875" style="1" customWidth="1"/>
    <col min="4" max="5" width="14.7109375" style="1" customWidth="1"/>
    <col min="6" max="6" width="17.5703125" style="1" customWidth="1"/>
    <col min="7" max="7" width="12.140625" style="1" customWidth="1"/>
    <col min="8" max="8" width="15" style="1" customWidth="1"/>
    <col min="9" max="9" width="14.42578125" style="1" customWidth="1"/>
    <col min="10" max="10" width="15.140625" style="1" customWidth="1"/>
    <col min="11" max="11" width="16.42578125" style="1" customWidth="1"/>
    <col min="12" max="12" width="15.7109375" style="1" customWidth="1"/>
    <col min="13" max="13" width="11.42578125" style="1" customWidth="1"/>
    <col min="14" max="14" width="14.7109375" style="1" customWidth="1"/>
    <col min="15" max="15" width="16.7109375" style="1" customWidth="1"/>
    <col min="16" max="16" width="14.28515625" style="1" customWidth="1"/>
    <col min="17" max="17" width="14.140625" style="1" customWidth="1"/>
    <col min="18" max="18" width="16.5703125" style="1" customWidth="1"/>
    <col min="19" max="19" width="17.140625" style="1" customWidth="1"/>
    <col min="20" max="20" width="16" style="1" customWidth="1"/>
    <col min="21" max="21" width="16.140625" style="1" customWidth="1"/>
    <col min="22" max="22" width="18.42578125" style="1" customWidth="1"/>
    <col min="23" max="23" width="21.140625" style="1" customWidth="1"/>
    <col min="24" max="24" width="15.5703125" style="1" customWidth="1"/>
    <col min="25" max="25" width="21.28515625" style="1" bestFit="1" customWidth="1"/>
    <col min="26" max="26" width="15.140625" style="1" customWidth="1"/>
    <col min="27" max="28" width="16.140625" style="1" customWidth="1"/>
    <col min="29" max="29" width="20.7109375" style="1" customWidth="1"/>
    <col min="30" max="16384" width="9.140625" style="1"/>
  </cols>
  <sheetData>
    <row r="1" spans="1:24" ht="186" customHeight="1" thickBot="1" x14ac:dyDescent="0.25">
      <c r="S1" s="315" t="s">
        <v>0</v>
      </c>
      <c r="T1" s="316"/>
      <c r="U1" s="316"/>
      <c r="V1" s="316"/>
      <c r="W1" s="316"/>
    </row>
    <row r="2" spans="1:24" ht="33.75" customHeight="1" thickTop="1" thickBot="1" x14ac:dyDescent="0.35">
      <c r="A2" s="322" t="s">
        <v>1</v>
      </c>
      <c r="B2" s="322"/>
      <c r="C2" s="322"/>
      <c r="D2" s="322"/>
      <c r="E2" s="322"/>
      <c r="F2" s="322"/>
      <c r="G2" s="322"/>
      <c r="H2" s="322"/>
      <c r="I2" s="322"/>
      <c r="J2" s="322"/>
      <c r="K2" s="322"/>
      <c r="L2" s="322"/>
      <c r="M2" s="322"/>
      <c r="N2" s="322"/>
      <c r="O2" s="322"/>
      <c r="P2" s="322"/>
      <c r="Q2" s="322"/>
      <c r="R2" s="322"/>
      <c r="S2" s="322"/>
      <c r="T2" s="322"/>
      <c r="U2" s="322"/>
      <c r="V2" s="322"/>
      <c r="W2" s="322"/>
    </row>
    <row r="3" spans="1:24" ht="26.25" customHeight="1" thickTop="1" x14ac:dyDescent="0.2">
      <c r="A3" s="352" t="s">
        <v>2</v>
      </c>
      <c r="B3" s="317"/>
      <c r="C3" s="317" t="s">
        <v>3</v>
      </c>
      <c r="D3" s="351" t="s">
        <v>4</v>
      </c>
      <c r="E3" s="319"/>
      <c r="F3" s="319"/>
      <c r="G3" s="319"/>
      <c r="H3" s="320"/>
      <c r="I3" s="319"/>
      <c r="J3" s="319"/>
      <c r="K3" s="319"/>
      <c r="L3" s="319"/>
      <c r="M3" s="319"/>
      <c r="N3" s="320"/>
      <c r="O3" s="317" t="s">
        <v>5</v>
      </c>
      <c r="P3" s="323" t="s">
        <v>6</v>
      </c>
      <c r="Q3" s="317" t="s">
        <v>7</v>
      </c>
      <c r="R3" s="317" t="s">
        <v>8</v>
      </c>
      <c r="S3" s="317" t="s">
        <v>9</v>
      </c>
      <c r="T3" s="317" t="s">
        <v>10</v>
      </c>
      <c r="U3" s="317" t="s">
        <v>11</v>
      </c>
      <c r="V3" s="317" t="s">
        <v>12</v>
      </c>
      <c r="W3" s="324" t="s">
        <v>13</v>
      </c>
    </row>
    <row r="4" spans="1:24" ht="21" customHeight="1" x14ac:dyDescent="0.2">
      <c r="A4" s="353"/>
      <c r="B4" s="318"/>
      <c r="C4" s="318"/>
      <c r="D4" s="318" t="s">
        <v>14</v>
      </c>
      <c r="E4" s="318" t="s">
        <v>15</v>
      </c>
      <c r="F4" s="318" t="s">
        <v>16</v>
      </c>
      <c r="G4" s="318" t="s">
        <v>17</v>
      </c>
      <c r="H4" s="318" t="s">
        <v>18</v>
      </c>
      <c r="I4" s="318" t="s">
        <v>19</v>
      </c>
      <c r="J4" s="318"/>
      <c r="K4" s="318"/>
      <c r="L4" s="337" t="s">
        <v>20</v>
      </c>
      <c r="M4" s="318" t="s">
        <v>21</v>
      </c>
      <c r="N4" s="318" t="s">
        <v>22</v>
      </c>
      <c r="O4" s="318"/>
      <c r="P4" s="318"/>
      <c r="Q4" s="318"/>
      <c r="R4" s="318"/>
      <c r="S4" s="318"/>
      <c r="T4" s="318"/>
      <c r="U4" s="318"/>
      <c r="V4" s="318" t="s">
        <v>23</v>
      </c>
      <c r="W4" s="325" t="s">
        <v>24</v>
      </c>
    </row>
    <row r="5" spans="1:24" ht="21" customHeight="1" x14ac:dyDescent="0.2">
      <c r="A5" s="353"/>
      <c r="B5" s="318"/>
      <c r="C5" s="318"/>
      <c r="D5" s="318"/>
      <c r="E5" s="318"/>
      <c r="F5" s="318"/>
      <c r="G5" s="318"/>
      <c r="H5" s="318"/>
      <c r="I5" s="318" t="s">
        <v>25</v>
      </c>
      <c r="J5" s="318" t="s">
        <v>26</v>
      </c>
      <c r="K5" s="318" t="s">
        <v>27</v>
      </c>
      <c r="L5" s="338"/>
      <c r="M5" s="318"/>
      <c r="N5" s="318"/>
      <c r="O5" s="318"/>
      <c r="P5" s="318"/>
      <c r="Q5" s="318"/>
      <c r="R5" s="318"/>
      <c r="S5" s="318"/>
      <c r="T5" s="318"/>
      <c r="U5" s="318"/>
      <c r="V5" s="318"/>
      <c r="W5" s="325"/>
    </row>
    <row r="6" spans="1:24" ht="47.25" customHeight="1" x14ac:dyDescent="0.2">
      <c r="A6" s="353"/>
      <c r="B6" s="318"/>
      <c r="C6" s="318"/>
      <c r="D6" s="318"/>
      <c r="E6" s="318"/>
      <c r="F6" s="318"/>
      <c r="G6" s="318"/>
      <c r="H6" s="318"/>
      <c r="I6" s="321"/>
      <c r="J6" s="321"/>
      <c r="K6" s="321"/>
      <c r="L6" s="338"/>
      <c r="M6" s="318"/>
      <c r="N6" s="318"/>
      <c r="O6" s="318"/>
      <c r="P6" s="318"/>
      <c r="Q6" s="318"/>
      <c r="R6" s="318"/>
      <c r="S6" s="318"/>
      <c r="T6" s="318"/>
      <c r="U6" s="318"/>
      <c r="V6" s="318"/>
      <c r="W6" s="325"/>
    </row>
    <row r="7" spans="1:24" ht="21" customHeight="1" x14ac:dyDescent="0.2">
      <c r="A7" s="353"/>
      <c r="B7" s="318"/>
      <c r="C7" s="318"/>
      <c r="D7" s="318"/>
      <c r="E7" s="3">
        <v>0.4</v>
      </c>
      <c r="F7" s="318"/>
      <c r="G7" s="75">
        <v>0.69899999999999995</v>
      </c>
      <c r="H7" s="318"/>
      <c r="I7" s="321"/>
      <c r="J7" s="321"/>
      <c r="K7" s="321"/>
      <c r="L7" s="339"/>
      <c r="M7" s="318"/>
      <c r="N7" s="318"/>
      <c r="O7" s="318"/>
      <c r="P7" s="4" t="e">
        <f>#REF!</f>
        <v>#REF!</v>
      </c>
      <c r="Q7" s="318"/>
      <c r="R7" s="318"/>
      <c r="S7" s="318"/>
      <c r="T7" s="318"/>
      <c r="U7" s="318"/>
      <c r="V7" s="318"/>
      <c r="W7" s="325"/>
    </row>
    <row r="8" spans="1:24" ht="50.25" customHeight="1" x14ac:dyDescent="0.2">
      <c r="A8" s="326" t="s">
        <v>28</v>
      </c>
      <c r="B8" s="327"/>
      <c r="C8" s="2" t="s">
        <v>29</v>
      </c>
      <c r="D8" s="83">
        <f>1619.92*1.056*1.057*1.0659</f>
        <v>1927.3</v>
      </c>
      <c r="E8" s="5">
        <f>D8*E7</f>
        <v>770.92</v>
      </c>
      <c r="F8" s="5">
        <f>D8+E8</f>
        <v>2698.22</v>
      </c>
      <c r="G8" s="6">
        <f>F8*$G$7</f>
        <v>1886.06</v>
      </c>
      <c r="H8" s="57">
        <f>SUM(F8:G8)</f>
        <v>4584.28</v>
      </c>
      <c r="I8" s="2">
        <v>22</v>
      </c>
      <c r="J8" s="6">
        <v>16</v>
      </c>
      <c r="K8" s="6">
        <f>I8*J8</f>
        <v>352</v>
      </c>
      <c r="L8" s="84" t="e">
        <f>#REF!</f>
        <v>#REF!</v>
      </c>
      <c r="M8" s="8">
        <v>119.13</v>
      </c>
      <c r="N8" s="56" t="e">
        <f>K8+L8+M8</f>
        <v>#REF!</v>
      </c>
      <c r="O8" s="56" t="e">
        <f>H8+N8</f>
        <v>#REF!</v>
      </c>
      <c r="P8" s="5" t="e">
        <f>O8*$P$7</f>
        <v>#REF!</v>
      </c>
      <c r="Q8" s="8" t="e">
        <f>O8+P8</f>
        <v>#REF!</v>
      </c>
      <c r="R8" s="8" t="e">
        <f>Q8*12</f>
        <v>#REF!</v>
      </c>
      <c r="S8" s="88">
        <f>'ANEXO II'!G20</f>
        <v>1670</v>
      </c>
      <c r="T8" s="5" t="e">
        <f>R8/S8</f>
        <v>#REF!</v>
      </c>
      <c r="U8" s="7">
        <v>18</v>
      </c>
      <c r="V8" s="8" t="e">
        <f>U8*Q8</f>
        <v>#REF!</v>
      </c>
      <c r="W8" s="24" t="e">
        <f t="shared" ref="W8:W13" si="0">V8*12</f>
        <v>#REF!</v>
      </c>
      <c r="X8" s="49"/>
    </row>
    <row r="9" spans="1:24" ht="50.25" customHeight="1" x14ac:dyDescent="0.2">
      <c r="A9" s="326" t="s">
        <v>30</v>
      </c>
      <c r="B9" s="327"/>
      <c r="C9" s="2" t="s">
        <v>29</v>
      </c>
      <c r="D9" s="83">
        <f>2149.41*1.056*1.057*1.0659</f>
        <v>2557.2600000000002</v>
      </c>
      <c r="E9" s="5">
        <v>0</v>
      </c>
      <c r="F9" s="5">
        <f>D9+E9</f>
        <v>2557.2600000000002</v>
      </c>
      <c r="G9" s="6">
        <f>F9*$G$7</f>
        <v>1787.52</v>
      </c>
      <c r="H9" s="57">
        <f>SUM(F9:G9)</f>
        <v>4344.78</v>
      </c>
      <c r="I9" s="2">
        <v>22</v>
      </c>
      <c r="J9" s="6">
        <v>16</v>
      </c>
      <c r="K9" s="6">
        <f>I9*J9</f>
        <v>352</v>
      </c>
      <c r="L9" s="85" t="e">
        <f>#REF!</f>
        <v>#REF!</v>
      </c>
      <c r="M9" s="8">
        <f>M8</f>
        <v>119.13</v>
      </c>
      <c r="N9" s="56" t="e">
        <f>K9+L9+M9</f>
        <v>#REF!</v>
      </c>
      <c r="O9" s="56" t="e">
        <f>H9+N9</f>
        <v>#REF!</v>
      </c>
      <c r="P9" s="5" t="e">
        <f>O9*$P$7</f>
        <v>#REF!</v>
      </c>
      <c r="Q9" s="8" t="e">
        <f>O9+P9</f>
        <v>#REF!</v>
      </c>
      <c r="R9" s="8" t="e">
        <f>Q9*12</f>
        <v>#REF!</v>
      </c>
      <c r="S9" s="88">
        <f>'ANEXO II'!G20</f>
        <v>1670</v>
      </c>
      <c r="T9" s="5" t="e">
        <f>R9/S9</f>
        <v>#REF!</v>
      </c>
      <c r="U9" s="7">
        <v>2</v>
      </c>
      <c r="V9" s="8" t="e">
        <f>U9*Q9</f>
        <v>#REF!</v>
      </c>
      <c r="W9" s="24" t="e">
        <f t="shared" si="0"/>
        <v>#REF!</v>
      </c>
    </row>
    <row r="10" spans="1:24" ht="50.25" customHeight="1" x14ac:dyDescent="0.2">
      <c r="A10" s="326" t="s">
        <v>31</v>
      </c>
      <c r="B10" s="327"/>
      <c r="C10" s="2" t="s">
        <v>29</v>
      </c>
      <c r="D10" s="83">
        <f>1468.95*1.056*1.057*1.0659</f>
        <v>1747.68</v>
      </c>
      <c r="E10" s="5">
        <v>0</v>
      </c>
      <c r="F10" s="5">
        <f>D10+E10</f>
        <v>1747.68</v>
      </c>
      <c r="G10" s="6">
        <f>F10*$G$7</f>
        <v>1221.6300000000001</v>
      </c>
      <c r="H10" s="57">
        <f>SUM(F10:G10)</f>
        <v>2969.31</v>
      </c>
      <c r="I10" s="2">
        <v>22</v>
      </c>
      <c r="J10" s="6">
        <v>16</v>
      </c>
      <c r="K10" s="6">
        <f>I10*J10</f>
        <v>352</v>
      </c>
      <c r="L10" s="85" t="e">
        <f>#REF!</f>
        <v>#REF!</v>
      </c>
      <c r="M10" s="8">
        <f>M8</f>
        <v>119.13</v>
      </c>
      <c r="N10" s="56" t="e">
        <f>K10+L10+M10</f>
        <v>#REF!</v>
      </c>
      <c r="O10" s="56" t="e">
        <f>H10+N10</f>
        <v>#REF!</v>
      </c>
      <c r="P10" s="5" t="e">
        <f>O10*$P$7</f>
        <v>#REF!</v>
      </c>
      <c r="Q10" s="8" t="e">
        <f>O10+P10</f>
        <v>#REF!</v>
      </c>
      <c r="R10" s="8" t="e">
        <f>Q10*12</f>
        <v>#REF!</v>
      </c>
      <c r="S10" s="88">
        <f>'ANEXO II'!G20</f>
        <v>1670</v>
      </c>
      <c r="T10" s="5" t="e">
        <f>R10/S10</f>
        <v>#REF!</v>
      </c>
      <c r="U10" s="7">
        <v>2</v>
      </c>
      <c r="V10" s="8" t="e">
        <f>U10*Q10</f>
        <v>#REF!</v>
      </c>
      <c r="W10" s="24" t="e">
        <f t="shared" si="0"/>
        <v>#REF!</v>
      </c>
    </row>
    <row r="11" spans="1:24" ht="50.25" customHeight="1" x14ac:dyDescent="0.2">
      <c r="A11" s="326" t="s">
        <v>32</v>
      </c>
      <c r="B11" s="327"/>
      <c r="C11" s="2" t="s">
        <v>33</v>
      </c>
      <c r="D11" s="83">
        <f>2746.93*1.056*1.057*1.0659</f>
        <v>3268.16</v>
      </c>
      <c r="E11" s="5">
        <v>0</v>
      </c>
      <c r="F11" s="5">
        <f>D11+E11</f>
        <v>3268.16</v>
      </c>
      <c r="G11" s="6">
        <f>F11*$G$7</f>
        <v>2284.44</v>
      </c>
      <c r="H11" s="57">
        <f>SUM(F11:G11)</f>
        <v>5552.6</v>
      </c>
      <c r="I11" s="2">
        <v>22</v>
      </c>
      <c r="J11" s="6">
        <v>16</v>
      </c>
      <c r="K11" s="6">
        <f>I11*J11</f>
        <v>352</v>
      </c>
      <c r="L11" s="85" t="e">
        <f>#REF!</f>
        <v>#REF!</v>
      </c>
      <c r="M11" s="8">
        <f>M8</f>
        <v>119.13</v>
      </c>
      <c r="N11" s="56" t="e">
        <f>K11+L11+M11</f>
        <v>#REF!</v>
      </c>
      <c r="O11" s="56" t="e">
        <f>H11+N11</f>
        <v>#REF!</v>
      </c>
      <c r="P11" s="5" t="e">
        <f>O11*$P$7</f>
        <v>#REF!</v>
      </c>
      <c r="Q11" s="8" t="e">
        <f>O11+P11</f>
        <v>#REF!</v>
      </c>
      <c r="R11" s="8" t="e">
        <f>Q11*12</f>
        <v>#REF!</v>
      </c>
      <c r="S11" s="88">
        <f>'ANEXO II'!H20</f>
        <v>1980</v>
      </c>
      <c r="T11" s="5" t="e">
        <f>R11/S11</f>
        <v>#REF!</v>
      </c>
      <c r="U11" s="7">
        <v>1</v>
      </c>
      <c r="V11" s="8" t="e">
        <f>U11*Q11</f>
        <v>#REF!</v>
      </c>
      <c r="W11" s="24" t="e">
        <f t="shared" si="0"/>
        <v>#REF!</v>
      </c>
    </row>
    <row r="12" spans="1:24" ht="50.25" customHeight="1" thickBot="1" x14ac:dyDescent="0.25">
      <c r="A12" s="335" t="s">
        <v>34</v>
      </c>
      <c r="B12" s="336"/>
      <c r="C12" s="38"/>
      <c r="D12" s="39"/>
      <c r="E12" s="39"/>
      <c r="F12" s="39"/>
      <c r="G12" s="41"/>
      <c r="H12" s="37">
        <f>SUM(H8:H11)</f>
        <v>17450.97</v>
      </c>
      <c r="I12" s="343"/>
      <c r="J12" s="344"/>
      <c r="K12" s="344"/>
      <c r="L12" s="344"/>
      <c r="M12" s="345"/>
      <c r="N12" s="37" t="e">
        <f>SUM(N8:N11)</f>
        <v>#REF!</v>
      </c>
      <c r="O12" s="40" t="e">
        <f>SUM(O8:O11)</f>
        <v>#REF!</v>
      </c>
      <c r="P12" s="330"/>
      <c r="Q12" s="331"/>
      <c r="R12" s="331"/>
      <c r="S12" s="331"/>
      <c r="T12" s="332"/>
      <c r="U12" s="44">
        <f>SUM(U8:U11)</f>
        <v>23</v>
      </c>
      <c r="V12" s="37" t="e">
        <f>SUM(V8:V11)</f>
        <v>#REF!</v>
      </c>
      <c r="W12" s="26" t="e">
        <f t="shared" si="0"/>
        <v>#REF!</v>
      </c>
    </row>
    <row r="13" spans="1:24" ht="39.950000000000003" customHeight="1" thickTop="1" x14ac:dyDescent="0.2">
      <c r="A13" s="349" t="s">
        <v>35</v>
      </c>
      <c r="B13" s="350"/>
      <c r="C13" s="350"/>
      <c r="D13" s="350"/>
      <c r="E13" s="350"/>
      <c r="F13" s="350"/>
      <c r="G13" s="350"/>
      <c r="H13" s="350"/>
      <c r="I13" s="350"/>
      <c r="J13" s="350"/>
      <c r="K13" s="350"/>
      <c r="L13" s="350"/>
      <c r="M13" s="350"/>
      <c r="N13" s="350"/>
      <c r="O13" s="350"/>
      <c r="P13" s="350"/>
      <c r="Q13" s="350"/>
      <c r="R13" s="350"/>
      <c r="S13" s="350"/>
      <c r="T13" s="350"/>
      <c r="U13" s="350"/>
      <c r="V13" s="67">
        <v>1000</v>
      </c>
      <c r="W13" s="68">
        <f t="shared" si="0"/>
        <v>12000</v>
      </c>
    </row>
    <row r="14" spans="1:24" ht="39.950000000000003" customHeight="1" x14ac:dyDescent="0.2">
      <c r="A14" s="333" t="s">
        <v>36</v>
      </c>
      <c r="B14" s="334"/>
      <c r="C14" s="334"/>
      <c r="D14" s="334"/>
      <c r="E14" s="334"/>
      <c r="F14" s="334"/>
      <c r="G14" s="334"/>
      <c r="H14" s="334"/>
      <c r="I14" s="334"/>
      <c r="J14" s="334"/>
      <c r="K14" s="334"/>
      <c r="L14" s="334"/>
      <c r="M14" s="334"/>
      <c r="N14" s="334"/>
      <c r="O14" s="334"/>
      <c r="P14" s="334"/>
      <c r="Q14" s="334"/>
      <c r="R14" s="334"/>
      <c r="S14" s="334"/>
      <c r="T14" s="334"/>
      <c r="U14" s="334"/>
      <c r="V14" s="86">
        <f>380*U12/2</f>
        <v>4370</v>
      </c>
      <c r="W14" s="87">
        <f>(V14*12)</f>
        <v>52440</v>
      </c>
    </row>
    <row r="15" spans="1:24" ht="39.950000000000003" customHeight="1" x14ac:dyDescent="0.2">
      <c r="A15" s="333" t="s">
        <v>37</v>
      </c>
      <c r="B15" s="334"/>
      <c r="C15" s="334"/>
      <c r="D15" s="334"/>
      <c r="E15" s="334"/>
      <c r="F15" s="334"/>
      <c r="G15" s="334"/>
      <c r="H15" s="334"/>
      <c r="I15" s="334"/>
      <c r="J15" s="334"/>
      <c r="K15" s="334"/>
      <c r="L15" s="334"/>
      <c r="M15" s="334"/>
      <c r="N15" s="334"/>
      <c r="O15" s="334"/>
      <c r="P15" s="334"/>
      <c r="Q15" s="334"/>
      <c r="R15" s="334"/>
      <c r="S15" s="334"/>
      <c r="T15" s="334"/>
      <c r="U15" s="334"/>
      <c r="V15" s="86">
        <f>W15/12</f>
        <v>1217.5</v>
      </c>
      <c r="W15" s="87">
        <v>14610</v>
      </c>
    </row>
    <row r="16" spans="1:24" ht="39.950000000000003" customHeight="1" x14ac:dyDescent="0.2">
      <c r="A16" s="328" t="s">
        <v>38</v>
      </c>
      <c r="B16" s="329"/>
      <c r="C16" s="329"/>
      <c r="D16" s="329"/>
      <c r="E16" s="329"/>
      <c r="F16" s="329"/>
      <c r="G16" s="329"/>
      <c r="H16" s="329"/>
      <c r="I16" s="329"/>
      <c r="J16" s="329"/>
      <c r="K16" s="329"/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69">
        <v>355.61</v>
      </c>
      <c r="W16" s="70">
        <f>V16*12</f>
        <v>4267.32</v>
      </c>
    </row>
    <row r="17" spans="1:27" ht="39.950000000000003" customHeight="1" x14ac:dyDescent="0.2">
      <c r="A17" s="328" t="s">
        <v>39</v>
      </c>
      <c r="B17" s="329"/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69">
        <v>8.42</v>
      </c>
      <c r="W17" s="70">
        <f>V17*12</f>
        <v>101.04</v>
      </c>
    </row>
    <row r="18" spans="1:27" ht="39.950000000000003" customHeight="1" thickBot="1" x14ac:dyDescent="0.25">
      <c r="A18" s="328" t="s">
        <v>40</v>
      </c>
      <c r="B18" s="329"/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29"/>
      <c r="P18" s="329"/>
      <c r="Q18" s="329"/>
      <c r="R18" s="329"/>
      <c r="S18" s="329"/>
      <c r="T18" s="329"/>
      <c r="U18" s="329"/>
      <c r="V18" s="69">
        <f>W18/12</f>
        <v>1000</v>
      </c>
      <c r="W18" s="70">
        <v>12000</v>
      </c>
    </row>
    <row r="19" spans="1:27" ht="39.950000000000003" customHeight="1" thickTop="1" thickBot="1" x14ac:dyDescent="0.25">
      <c r="A19" s="346" t="s">
        <v>41</v>
      </c>
      <c r="B19" s="347"/>
      <c r="C19" s="347"/>
      <c r="D19" s="347"/>
      <c r="E19" s="347"/>
      <c r="F19" s="347"/>
      <c r="G19" s="347"/>
      <c r="H19" s="347"/>
      <c r="I19" s="347"/>
      <c r="J19" s="347"/>
      <c r="K19" s="347"/>
      <c r="L19" s="347"/>
      <c r="M19" s="347"/>
      <c r="N19" s="347"/>
      <c r="O19" s="347"/>
      <c r="P19" s="347"/>
      <c r="Q19" s="347"/>
      <c r="R19" s="347"/>
      <c r="S19" s="347"/>
      <c r="T19" s="347"/>
      <c r="U19" s="348"/>
      <c r="V19" s="25">
        <f>SUM(V13:V18)</f>
        <v>7951.53</v>
      </c>
      <c r="W19" s="26">
        <f>SUM(W13:W18)</f>
        <v>95418.36</v>
      </c>
      <c r="Y19" s="77"/>
    </row>
    <row r="20" spans="1:27" ht="39.950000000000003" customHeight="1" thickTop="1" thickBot="1" x14ac:dyDescent="0.25">
      <c r="A20" s="340" t="s">
        <v>42</v>
      </c>
      <c r="B20" s="341"/>
      <c r="C20" s="341"/>
      <c r="D20" s="341"/>
      <c r="E20" s="341"/>
      <c r="F20" s="341"/>
      <c r="G20" s="341"/>
      <c r="H20" s="341"/>
      <c r="I20" s="341"/>
      <c r="J20" s="341"/>
      <c r="K20" s="341"/>
      <c r="L20" s="341"/>
      <c r="M20" s="341"/>
      <c r="N20" s="341"/>
      <c r="O20" s="341"/>
      <c r="P20" s="341"/>
      <c r="Q20" s="341"/>
      <c r="R20" s="341"/>
      <c r="S20" s="341"/>
      <c r="T20" s="341"/>
      <c r="U20" s="342"/>
      <c r="V20" s="79" t="e">
        <f>V12+V19</f>
        <v>#REF!</v>
      </c>
      <c r="W20" s="78" t="e">
        <f>W12+W19</f>
        <v>#REF!</v>
      </c>
      <c r="X20" s="49"/>
      <c r="Y20" s="48"/>
      <c r="Z20" s="48"/>
    </row>
    <row r="21" spans="1:27" ht="15.75" customHeight="1" thickTop="1" x14ac:dyDescent="0.25">
      <c r="I21" s="10"/>
      <c r="J21" s="45"/>
      <c r="K21" s="45"/>
      <c r="L21" s="45"/>
      <c r="N21" s="45"/>
      <c r="O21" s="45"/>
      <c r="P21" s="45"/>
      <c r="Q21" s="45"/>
      <c r="T21" s="27"/>
      <c r="U21" s="27"/>
      <c r="V21" s="27"/>
      <c r="X21" s="23"/>
      <c r="Y21" s="23"/>
      <c r="Z21" s="23"/>
      <c r="AA21" s="23"/>
    </row>
    <row r="22" spans="1:27" ht="16.5" customHeight="1" x14ac:dyDescent="0.2">
      <c r="B22" s="1" t="s">
        <v>43</v>
      </c>
      <c r="H22" s="43"/>
      <c r="J22" s="45"/>
      <c r="K22" s="45"/>
      <c r="L22" s="45"/>
      <c r="N22" s="45"/>
      <c r="O22" s="45"/>
      <c r="P22" s="45"/>
      <c r="Q22" s="45"/>
      <c r="V22" s="48"/>
    </row>
    <row r="23" spans="1:27" x14ac:dyDescent="0.2">
      <c r="J23" s="28"/>
      <c r="K23" s="28"/>
      <c r="L23" s="28"/>
      <c r="N23" s="28"/>
      <c r="O23" s="28"/>
      <c r="P23" s="28"/>
      <c r="Q23" s="28"/>
    </row>
    <row r="24" spans="1:27" ht="15.75" x14ac:dyDescent="0.25">
      <c r="F24" s="65"/>
      <c r="G24" s="66"/>
      <c r="K24" s="27"/>
      <c r="L24" s="27"/>
      <c r="N24" s="27"/>
      <c r="O24" s="27"/>
      <c r="P24" s="27"/>
      <c r="Q24" s="27"/>
    </row>
    <row r="25" spans="1:27" ht="15.75" x14ac:dyDescent="0.25">
      <c r="G25" s="49"/>
      <c r="H25" s="66"/>
      <c r="K25" s="27"/>
      <c r="L25" s="27"/>
      <c r="N25" s="27"/>
      <c r="O25" s="27"/>
      <c r="P25" s="27"/>
      <c r="Q25" s="27"/>
    </row>
    <row r="26" spans="1:27" ht="15.75" x14ac:dyDescent="0.25">
      <c r="G26" s="49"/>
      <c r="K26" s="27"/>
      <c r="L26" s="27"/>
      <c r="N26" s="27"/>
      <c r="O26" s="27"/>
      <c r="P26" s="27"/>
      <c r="Q26" s="27"/>
    </row>
    <row r="27" spans="1:27" ht="15.75" x14ac:dyDescent="0.25">
      <c r="G27" s="49"/>
      <c r="K27" s="27"/>
      <c r="L27" s="46"/>
      <c r="N27" s="27"/>
      <c r="O27" s="27"/>
      <c r="P27" s="27"/>
      <c r="Q27" s="27"/>
    </row>
    <row r="28" spans="1:27" ht="15.75" x14ac:dyDescent="0.25">
      <c r="L28" s="46"/>
    </row>
    <row r="30" spans="1:27" x14ac:dyDescent="0.2">
      <c r="J30" s="47" t="s">
        <v>44</v>
      </c>
    </row>
  </sheetData>
  <mergeCells count="42">
    <mergeCell ref="I4:K4"/>
    <mergeCell ref="S3:S7"/>
    <mergeCell ref="D3:H3"/>
    <mergeCell ref="A3:B7"/>
    <mergeCell ref="J5:J7"/>
    <mergeCell ref="A20:U20"/>
    <mergeCell ref="I12:M12"/>
    <mergeCell ref="A15:U15"/>
    <mergeCell ref="A19:U19"/>
    <mergeCell ref="A13:U13"/>
    <mergeCell ref="A10:B10"/>
    <mergeCell ref="A18:U18"/>
    <mergeCell ref="A17:U17"/>
    <mergeCell ref="G4:G6"/>
    <mergeCell ref="A16:U16"/>
    <mergeCell ref="P12:T12"/>
    <mergeCell ref="A8:B8"/>
    <mergeCell ref="H4:H7"/>
    <mergeCell ref="C3:C7"/>
    <mergeCell ref="M4:M7"/>
    <mergeCell ref="A14:U14"/>
    <mergeCell ref="A12:B12"/>
    <mergeCell ref="L4:L7"/>
    <mergeCell ref="D4:D7"/>
    <mergeCell ref="A11:B11"/>
    <mergeCell ref="A9:B9"/>
    <mergeCell ref="S1:W1"/>
    <mergeCell ref="V3:V7"/>
    <mergeCell ref="I3:N3"/>
    <mergeCell ref="I5:I7"/>
    <mergeCell ref="N4:N7"/>
    <mergeCell ref="A2:W2"/>
    <mergeCell ref="P3:P6"/>
    <mergeCell ref="F4:F7"/>
    <mergeCell ref="O3:O7"/>
    <mergeCell ref="R3:R7"/>
    <mergeCell ref="W3:W7"/>
    <mergeCell ref="T3:T7"/>
    <mergeCell ref="Q3:Q7"/>
    <mergeCell ref="E4:E6"/>
    <mergeCell ref="K5:K7"/>
    <mergeCell ref="U3:U7"/>
  </mergeCells>
  <phoneticPr fontId="2" type="noConversion"/>
  <printOptions horizontalCentered="1" verticalCentered="1"/>
  <pageMargins left="0.96" right="0" top="0.78740157480314965" bottom="0.39370078740157483" header="0.31496062992125984" footer="0.19685039370078741"/>
  <pageSetup paperSize="9" scale="35" orientation="landscape" r:id="rId1"/>
  <headerFooter alignWithMargins="0">
    <oddHeader>&amp;C&amp;"English111 Vivace BT,Regular"&amp;48Supremo Tribunal Federal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"/>
  <sheetViews>
    <sheetView zoomScaleNormal="100" zoomScaleSheetLayoutView="115" workbookViewId="0">
      <selection activeCell="M1" sqref="M1:Q1"/>
    </sheetView>
  </sheetViews>
  <sheetFormatPr defaultRowHeight="12.75" x14ac:dyDescent="0.2"/>
  <cols>
    <col min="1" max="1" width="25.28515625" customWidth="1"/>
    <col min="2" max="2" width="13.140625" customWidth="1"/>
    <col min="3" max="3" width="14.140625" customWidth="1"/>
  </cols>
  <sheetData>
    <row r="1" spans="1:17" ht="114.75" customHeight="1" x14ac:dyDescent="0.2">
      <c r="M1" s="384" t="s">
        <v>45</v>
      </c>
      <c r="N1" s="316"/>
      <c r="O1" s="316"/>
      <c r="P1" s="316"/>
      <c r="Q1" s="316"/>
    </row>
    <row r="2" spans="1:17" x14ac:dyDescent="0.2">
      <c r="A2" s="390" t="s">
        <v>46</v>
      </c>
      <c r="B2" s="390"/>
      <c r="C2" s="390"/>
      <c r="D2" s="390"/>
      <c r="E2" s="390"/>
      <c r="F2" s="390"/>
      <c r="G2" s="390"/>
      <c r="H2" s="9"/>
      <c r="I2" s="9"/>
      <c r="J2" s="9"/>
      <c r="K2" s="9"/>
      <c r="L2" s="9"/>
      <c r="M2" s="9"/>
    </row>
    <row r="3" spans="1:17" ht="13.5" thickBot="1" x14ac:dyDescent="0.25">
      <c r="A3" s="321" t="s">
        <v>47</v>
      </c>
      <c r="B3" s="321" t="s">
        <v>48</v>
      </c>
      <c r="C3" s="321" t="s">
        <v>49</v>
      </c>
      <c r="D3" s="321" t="s">
        <v>50</v>
      </c>
      <c r="E3" s="321" t="s">
        <v>51</v>
      </c>
      <c r="F3" s="321" t="s">
        <v>52</v>
      </c>
      <c r="G3" s="321" t="s">
        <v>53</v>
      </c>
      <c r="H3" s="321" t="s">
        <v>54</v>
      </c>
      <c r="I3" s="9"/>
      <c r="J3" s="388" t="s">
        <v>55</v>
      </c>
      <c r="K3" s="388"/>
      <c r="L3" s="388"/>
      <c r="M3" s="388"/>
    </row>
    <row r="4" spans="1:17" ht="13.5" thickTop="1" x14ac:dyDescent="0.2">
      <c r="A4" s="321"/>
      <c r="B4" s="321"/>
      <c r="C4" s="321"/>
      <c r="D4" s="321"/>
      <c r="E4" s="321"/>
      <c r="F4" s="321"/>
      <c r="G4" s="321"/>
      <c r="H4" s="321"/>
      <c r="I4" s="9"/>
      <c r="J4" s="391" t="s">
        <v>56</v>
      </c>
      <c r="K4" s="392"/>
      <c r="L4" s="11"/>
      <c r="M4" s="12" t="s">
        <v>57</v>
      </c>
    </row>
    <row r="5" spans="1:17" x14ac:dyDescent="0.2">
      <c r="A5" s="321"/>
      <c r="B5" s="321"/>
      <c r="C5" s="321"/>
      <c r="D5" s="321"/>
      <c r="E5" s="321"/>
      <c r="F5" s="321"/>
      <c r="G5" s="321"/>
      <c r="H5" s="321"/>
      <c r="I5" s="9"/>
      <c r="J5" s="13" t="s">
        <v>58</v>
      </c>
      <c r="K5" s="14"/>
      <c r="L5" s="15" t="s">
        <v>59</v>
      </c>
      <c r="M5" s="16">
        <v>0.05</v>
      </c>
    </row>
    <row r="6" spans="1:17" x14ac:dyDescent="0.2">
      <c r="A6" s="74">
        <v>41609</v>
      </c>
      <c r="B6" s="15">
        <v>17</v>
      </c>
      <c r="C6" s="15">
        <v>4</v>
      </c>
      <c r="D6" s="15">
        <v>4</v>
      </c>
      <c r="E6" s="15">
        <v>5</v>
      </c>
      <c r="F6" s="15">
        <v>1</v>
      </c>
      <c r="G6" s="73">
        <v>135</v>
      </c>
      <c r="H6" s="73">
        <v>159</v>
      </c>
      <c r="I6" s="9"/>
      <c r="J6" s="13" t="s">
        <v>60</v>
      </c>
      <c r="K6" s="14"/>
      <c r="L6" s="15" t="s">
        <v>61</v>
      </c>
      <c r="M6" s="16">
        <v>0.1</v>
      </c>
    </row>
    <row r="7" spans="1:17" x14ac:dyDescent="0.2">
      <c r="A7" s="74">
        <v>41640</v>
      </c>
      <c r="B7" s="15">
        <v>17</v>
      </c>
      <c r="C7" s="15">
        <v>5</v>
      </c>
      <c r="D7" s="15">
        <v>4</v>
      </c>
      <c r="E7" s="15">
        <v>5</v>
      </c>
      <c r="F7" s="15">
        <v>0</v>
      </c>
      <c r="G7" s="73">
        <v>110</v>
      </c>
      <c r="H7" s="73">
        <v>110</v>
      </c>
      <c r="I7" s="9"/>
      <c r="J7" s="29" t="s">
        <v>62</v>
      </c>
      <c r="K7" s="30"/>
      <c r="L7" s="15" t="s">
        <v>63</v>
      </c>
      <c r="M7" s="16">
        <v>8.6499999999999994E-2</v>
      </c>
    </row>
    <row r="8" spans="1:17" x14ac:dyDescent="0.2">
      <c r="A8" s="74">
        <v>41671</v>
      </c>
      <c r="B8" s="15">
        <v>16</v>
      </c>
      <c r="C8" s="15">
        <v>4</v>
      </c>
      <c r="D8" s="15">
        <v>4</v>
      </c>
      <c r="E8" s="15">
        <v>4</v>
      </c>
      <c r="F8" s="15">
        <v>0</v>
      </c>
      <c r="G8" s="73">
        <v>144</v>
      </c>
      <c r="H8" s="73">
        <v>176</v>
      </c>
      <c r="I8" s="9"/>
      <c r="J8" s="17"/>
      <c r="K8" s="18" t="s">
        <v>64</v>
      </c>
      <c r="L8" s="19"/>
      <c r="M8" s="20">
        <v>0.05</v>
      </c>
    </row>
    <row r="9" spans="1:17" x14ac:dyDescent="0.2">
      <c r="A9" s="74">
        <v>41699</v>
      </c>
      <c r="B9" s="15">
        <v>15</v>
      </c>
      <c r="C9" s="15">
        <v>4</v>
      </c>
      <c r="D9" s="15">
        <v>5</v>
      </c>
      <c r="E9" s="15">
        <v>6</v>
      </c>
      <c r="F9" s="15">
        <v>1</v>
      </c>
      <c r="G9" s="73">
        <v>135</v>
      </c>
      <c r="H9" s="73">
        <v>163</v>
      </c>
      <c r="I9" s="9"/>
      <c r="J9" s="17"/>
      <c r="K9" s="18" t="s">
        <v>65</v>
      </c>
      <c r="L9" s="21"/>
      <c r="M9" s="20">
        <v>0.03</v>
      </c>
    </row>
    <row r="10" spans="1:17" x14ac:dyDescent="0.2">
      <c r="A10" s="74">
        <v>41730</v>
      </c>
      <c r="B10" s="15">
        <v>15</v>
      </c>
      <c r="C10" s="15">
        <v>3</v>
      </c>
      <c r="D10" s="15">
        <v>4</v>
      </c>
      <c r="E10" s="15">
        <v>6</v>
      </c>
      <c r="F10" s="15">
        <v>2</v>
      </c>
      <c r="G10" s="73">
        <v>129</v>
      </c>
      <c r="H10" s="73">
        <v>159</v>
      </c>
      <c r="I10" s="9"/>
      <c r="J10" s="17"/>
      <c r="K10" s="18" t="s">
        <v>66</v>
      </c>
      <c r="L10" s="21"/>
      <c r="M10" s="20">
        <v>6.4999999999999997E-3</v>
      </c>
    </row>
    <row r="11" spans="1:17" ht="13.5" thickBot="1" x14ac:dyDescent="0.25">
      <c r="A11" s="74">
        <v>41760</v>
      </c>
      <c r="B11" s="15">
        <v>16</v>
      </c>
      <c r="C11" s="15">
        <v>5</v>
      </c>
      <c r="D11" s="15">
        <v>5</v>
      </c>
      <c r="E11" s="15">
        <v>5</v>
      </c>
      <c r="F11" s="15">
        <v>0</v>
      </c>
      <c r="G11" s="73">
        <v>152</v>
      </c>
      <c r="H11" s="73">
        <v>184</v>
      </c>
      <c r="I11" s="9"/>
      <c r="J11" s="393" t="s">
        <v>67</v>
      </c>
      <c r="K11" s="394"/>
      <c r="L11" s="395"/>
      <c r="M11" s="89">
        <v>0.26440000000000002</v>
      </c>
    </row>
    <row r="12" spans="1:17" ht="13.5" thickTop="1" x14ac:dyDescent="0.2">
      <c r="A12" s="74">
        <v>41791</v>
      </c>
      <c r="B12" s="15">
        <v>16</v>
      </c>
      <c r="C12" s="15">
        <v>4</v>
      </c>
      <c r="D12" s="15">
        <v>4</v>
      </c>
      <c r="E12" s="15">
        <v>6</v>
      </c>
      <c r="F12" s="15">
        <v>0</v>
      </c>
      <c r="G12" s="73">
        <v>144</v>
      </c>
      <c r="H12" s="73">
        <v>176</v>
      </c>
      <c r="I12" s="9"/>
      <c r="J12" s="396" t="s">
        <v>68</v>
      </c>
      <c r="K12" s="397"/>
      <c r="L12" s="22"/>
      <c r="M12" s="90"/>
    </row>
    <row r="13" spans="1:17" x14ac:dyDescent="0.2">
      <c r="A13" s="74">
        <v>41821</v>
      </c>
      <c r="B13" s="15">
        <v>19</v>
      </c>
      <c r="C13" s="15">
        <v>4</v>
      </c>
      <c r="D13" s="15">
        <v>4</v>
      </c>
      <c r="E13" s="15">
        <v>4</v>
      </c>
      <c r="F13" s="15">
        <v>0</v>
      </c>
      <c r="G13" s="73">
        <v>115</v>
      </c>
      <c r="H13" s="73">
        <v>115</v>
      </c>
      <c r="I13" s="9"/>
      <c r="J13" s="31" t="s">
        <v>69</v>
      </c>
      <c r="K13" s="9"/>
      <c r="L13" s="9"/>
      <c r="M13" s="32"/>
    </row>
    <row r="14" spans="1:17" x14ac:dyDescent="0.2">
      <c r="A14" s="74">
        <v>41852</v>
      </c>
      <c r="B14" s="15">
        <v>15</v>
      </c>
      <c r="C14" s="15">
        <v>5</v>
      </c>
      <c r="D14" s="15">
        <v>5</v>
      </c>
      <c r="E14" s="15">
        <v>5</v>
      </c>
      <c r="F14" s="15">
        <v>1</v>
      </c>
      <c r="G14" s="73">
        <v>145</v>
      </c>
      <c r="H14" s="73">
        <v>175</v>
      </c>
      <c r="I14" s="9"/>
      <c r="J14" s="33" t="s">
        <v>70</v>
      </c>
      <c r="K14" s="9"/>
      <c r="L14" s="9"/>
      <c r="M14" s="32"/>
    </row>
    <row r="15" spans="1:17" x14ac:dyDescent="0.2">
      <c r="A15" s="74">
        <v>41883</v>
      </c>
      <c r="B15" s="15">
        <v>18</v>
      </c>
      <c r="C15" s="15">
        <v>4</v>
      </c>
      <c r="D15" s="15">
        <v>4</v>
      </c>
      <c r="E15" s="15">
        <v>4</v>
      </c>
      <c r="F15" s="15">
        <v>0</v>
      </c>
      <c r="G15" s="73">
        <v>158</v>
      </c>
      <c r="H15" s="73">
        <v>194</v>
      </c>
      <c r="I15" s="9"/>
      <c r="J15" s="31" t="s">
        <v>71</v>
      </c>
      <c r="K15" s="9"/>
      <c r="L15" s="9"/>
      <c r="M15" s="32"/>
    </row>
    <row r="16" spans="1:17" x14ac:dyDescent="0.2">
      <c r="A16" s="96">
        <v>41913</v>
      </c>
      <c r="B16" s="97">
        <v>17</v>
      </c>
      <c r="C16" s="97">
        <v>5</v>
      </c>
      <c r="D16" s="97">
        <v>4</v>
      </c>
      <c r="E16" s="97">
        <v>4</v>
      </c>
      <c r="F16" s="97">
        <v>1</v>
      </c>
      <c r="G16" s="98">
        <v>159</v>
      </c>
      <c r="H16" s="98">
        <v>193</v>
      </c>
      <c r="I16" s="9"/>
      <c r="J16" s="31" t="s">
        <v>72</v>
      </c>
      <c r="K16" s="9"/>
      <c r="L16" s="9"/>
      <c r="M16" s="32"/>
    </row>
    <row r="17" spans="1:13" ht="13.5" thickBot="1" x14ac:dyDescent="0.25">
      <c r="A17" s="96">
        <v>41944</v>
      </c>
      <c r="B17" s="97">
        <v>16</v>
      </c>
      <c r="C17" s="97">
        <v>4</v>
      </c>
      <c r="D17" s="97">
        <v>3</v>
      </c>
      <c r="E17" s="97">
        <v>6</v>
      </c>
      <c r="F17" s="97">
        <v>1</v>
      </c>
      <c r="G17" s="98">
        <v>144</v>
      </c>
      <c r="H17" s="98">
        <v>176</v>
      </c>
      <c r="I17" s="9"/>
      <c r="J17" s="34" t="s">
        <v>73</v>
      </c>
      <c r="K17" s="35"/>
      <c r="L17" s="35"/>
      <c r="M17" s="36"/>
    </row>
    <row r="18" spans="1:13" ht="13.5" thickTop="1" x14ac:dyDescent="0.2">
      <c r="A18" s="71"/>
      <c r="B18" s="76">
        <v>197</v>
      </c>
      <c r="C18" s="76">
        <v>51</v>
      </c>
      <c r="D18" s="76"/>
      <c r="E18" s="76"/>
      <c r="F18" s="76"/>
      <c r="G18" s="50"/>
      <c r="H18" s="95"/>
      <c r="I18" s="9"/>
      <c r="J18" s="9"/>
      <c r="K18" s="9"/>
      <c r="L18" s="9"/>
      <c r="M18" s="9"/>
    </row>
    <row r="19" spans="1:13" x14ac:dyDescent="0.2">
      <c r="A19" s="72" t="s">
        <v>74</v>
      </c>
      <c r="B19" s="366">
        <v>248</v>
      </c>
      <c r="C19" s="366"/>
      <c r="D19" s="50"/>
      <c r="E19" s="50"/>
      <c r="F19" s="50"/>
      <c r="G19" s="50"/>
      <c r="H19" s="95"/>
      <c r="I19" s="9"/>
      <c r="J19" s="9"/>
      <c r="K19" s="9"/>
      <c r="L19" s="9"/>
      <c r="M19" s="9"/>
    </row>
    <row r="20" spans="1:13" ht="15.75" x14ac:dyDescent="0.2">
      <c r="A20" s="14" t="s">
        <v>75</v>
      </c>
      <c r="B20" s="14"/>
      <c r="C20" s="14"/>
      <c r="D20" s="14"/>
      <c r="E20" s="14"/>
      <c r="F20" s="14"/>
      <c r="G20" s="80">
        <v>1670</v>
      </c>
      <c r="H20" s="80">
        <v>1980</v>
      </c>
      <c r="I20" s="9"/>
      <c r="J20" s="42"/>
    </row>
    <row r="21" spans="1:13" ht="15.75" x14ac:dyDescent="0.2">
      <c r="A21" s="365" t="s">
        <v>76</v>
      </c>
      <c r="B21" s="365"/>
      <c r="C21" s="365"/>
      <c r="D21" s="365"/>
      <c r="E21" s="365"/>
      <c r="F21" s="365"/>
      <c r="G21" s="365"/>
      <c r="H21" s="9"/>
      <c r="I21" s="9"/>
      <c r="J21" s="42"/>
    </row>
    <row r="22" spans="1:13" ht="13.5" thickBot="1" x14ac:dyDescent="0.25">
      <c r="A22" s="386" t="s">
        <v>77</v>
      </c>
      <c r="B22" s="386"/>
      <c r="C22" s="386"/>
      <c r="D22" s="386"/>
      <c r="E22" s="386"/>
      <c r="F22" s="386"/>
      <c r="G22" s="386"/>
      <c r="H22" s="386"/>
      <c r="I22" s="9"/>
      <c r="J22" s="9"/>
    </row>
    <row r="23" spans="1:13" ht="13.5" thickTop="1" x14ac:dyDescent="0.2">
      <c r="A23" s="363" t="s">
        <v>78</v>
      </c>
      <c r="B23" s="354" t="s">
        <v>14</v>
      </c>
      <c r="C23" s="354" t="s">
        <v>79</v>
      </c>
      <c r="D23" s="372" t="s">
        <v>80</v>
      </c>
      <c r="E23" s="354" t="s">
        <v>81</v>
      </c>
      <c r="F23" s="354" t="s">
        <v>82</v>
      </c>
      <c r="G23" s="372" t="s">
        <v>83</v>
      </c>
      <c r="H23" s="367" t="s">
        <v>84</v>
      </c>
      <c r="I23" s="9"/>
      <c r="J23" s="9"/>
    </row>
    <row r="24" spans="1:13" x14ac:dyDescent="0.2">
      <c r="A24" s="364"/>
      <c r="B24" s="321"/>
      <c r="C24" s="321"/>
      <c r="D24" s="373"/>
      <c r="E24" s="321"/>
      <c r="F24" s="321"/>
      <c r="G24" s="373"/>
      <c r="H24" s="368"/>
      <c r="I24" s="9"/>
      <c r="J24" s="9"/>
    </row>
    <row r="25" spans="1:13" x14ac:dyDescent="0.2">
      <c r="A25" s="370" t="s">
        <v>28</v>
      </c>
      <c r="B25" s="357">
        <v>1808.14</v>
      </c>
      <c r="C25" s="382">
        <v>21697.68</v>
      </c>
      <c r="D25" s="361">
        <v>248</v>
      </c>
      <c r="E25" s="355">
        <v>87.49</v>
      </c>
      <c r="F25" s="355">
        <v>5.25</v>
      </c>
      <c r="G25" s="361">
        <v>248</v>
      </c>
      <c r="H25" s="375">
        <v>1302</v>
      </c>
      <c r="I25" s="9"/>
      <c r="J25" s="9"/>
    </row>
    <row r="26" spans="1:13" x14ac:dyDescent="0.2">
      <c r="A26" s="389"/>
      <c r="B26" s="387"/>
      <c r="C26" s="387"/>
      <c r="D26" s="369"/>
      <c r="E26" s="387"/>
      <c r="F26" s="385"/>
      <c r="G26" s="369"/>
      <c r="H26" s="379"/>
      <c r="I26" s="9"/>
      <c r="J26" s="9"/>
    </row>
    <row r="27" spans="1:13" ht="15" x14ac:dyDescent="0.2">
      <c r="A27" s="370" t="s">
        <v>30</v>
      </c>
      <c r="B27" s="357">
        <v>2399.15</v>
      </c>
      <c r="C27" s="359">
        <v>28789.8</v>
      </c>
      <c r="D27" s="361">
        <v>248</v>
      </c>
      <c r="E27" s="355">
        <v>116.09</v>
      </c>
      <c r="F27" s="355">
        <v>6.97</v>
      </c>
      <c r="G27" s="361">
        <v>248</v>
      </c>
      <c r="H27" s="375">
        <v>1728.56</v>
      </c>
      <c r="I27" s="9"/>
      <c r="J27" s="1"/>
    </row>
    <row r="28" spans="1:13" ht="15" x14ac:dyDescent="0.2">
      <c r="A28" s="371"/>
      <c r="B28" s="358"/>
      <c r="C28" s="360"/>
      <c r="D28" s="362"/>
      <c r="E28" s="356"/>
      <c r="F28" s="356"/>
      <c r="G28" s="362"/>
      <c r="H28" s="378"/>
      <c r="I28" s="9"/>
      <c r="J28" s="1"/>
    </row>
    <row r="29" spans="1:13" ht="15" x14ac:dyDescent="0.2">
      <c r="A29" s="370" t="s">
        <v>31</v>
      </c>
      <c r="B29" s="357">
        <v>1639.63</v>
      </c>
      <c r="C29" s="359">
        <v>19675.560000000001</v>
      </c>
      <c r="D29" s="361">
        <v>248</v>
      </c>
      <c r="E29" s="355">
        <v>79.34</v>
      </c>
      <c r="F29" s="355">
        <v>4.76</v>
      </c>
      <c r="G29" s="361">
        <v>248</v>
      </c>
      <c r="H29" s="375">
        <v>1180.48</v>
      </c>
      <c r="I29" s="9"/>
      <c r="J29" s="1"/>
    </row>
    <row r="30" spans="1:13" ht="15" x14ac:dyDescent="0.2">
      <c r="A30" s="371"/>
      <c r="B30" s="358"/>
      <c r="C30" s="360"/>
      <c r="D30" s="362"/>
      <c r="E30" s="356"/>
      <c r="F30" s="356"/>
      <c r="G30" s="362"/>
      <c r="H30" s="378"/>
      <c r="I30" s="9"/>
      <c r="J30" s="1"/>
    </row>
    <row r="31" spans="1:13" ht="15" x14ac:dyDescent="0.2">
      <c r="A31" s="370" t="s">
        <v>32</v>
      </c>
      <c r="B31" s="357">
        <v>3066.1</v>
      </c>
      <c r="C31" s="382">
        <v>36793.199999999997</v>
      </c>
      <c r="D31" s="361">
        <v>248</v>
      </c>
      <c r="E31" s="355">
        <v>148.36000000000001</v>
      </c>
      <c r="F31" s="355">
        <v>8.9</v>
      </c>
      <c r="G31" s="361">
        <v>248</v>
      </c>
      <c r="H31" s="375">
        <v>2207.1999999999998</v>
      </c>
      <c r="I31" s="9"/>
      <c r="J31" s="1"/>
    </row>
    <row r="32" spans="1:13" ht="15.75" thickBot="1" x14ac:dyDescent="0.25">
      <c r="A32" s="380"/>
      <c r="B32" s="381"/>
      <c r="C32" s="383"/>
      <c r="D32" s="374"/>
      <c r="E32" s="377"/>
      <c r="F32" s="377"/>
      <c r="G32" s="374"/>
      <c r="H32" s="376"/>
      <c r="I32" s="9"/>
      <c r="J32" s="1"/>
    </row>
    <row r="33" spans="1:13" ht="15.75" thickTop="1" x14ac:dyDescent="0.2">
      <c r="A33" s="59"/>
      <c r="B33" s="60"/>
      <c r="C33" s="93"/>
      <c r="D33" s="61"/>
      <c r="E33" s="62"/>
      <c r="F33" s="62"/>
      <c r="G33" s="61"/>
      <c r="H33" s="62"/>
      <c r="I33" s="9"/>
      <c r="J33" s="1"/>
    </row>
    <row r="34" spans="1:13" ht="15.75" thickBot="1" x14ac:dyDescent="0.25">
      <c r="A34" s="9"/>
      <c r="B34" s="9"/>
      <c r="C34" s="9"/>
      <c r="D34" s="9"/>
      <c r="E34" s="9"/>
      <c r="F34" s="9"/>
      <c r="G34" s="9"/>
      <c r="H34" s="9"/>
      <c r="I34" s="9"/>
      <c r="J34" s="1"/>
    </row>
    <row r="35" spans="1:13" ht="15.75" thickTop="1" x14ac:dyDescent="0.2">
      <c r="A35" s="363" t="s">
        <v>78</v>
      </c>
      <c r="B35" s="354" t="s">
        <v>85</v>
      </c>
      <c r="C35" s="354" t="s">
        <v>86</v>
      </c>
      <c r="D35" s="372" t="s">
        <v>80</v>
      </c>
      <c r="E35" s="354" t="s">
        <v>87</v>
      </c>
      <c r="F35" s="354" t="s">
        <v>88</v>
      </c>
      <c r="G35" s="354" t="s">
        <v>89</v>
      </c>
      <c r="H35" s="367" t="s">
        <v>90</v>
      </c>
      <c r="I35" s="9"/>
      <c r="J35" s="1"/>
    </row>
    <row r="36" spans="1:13" ht="30.75" customHeight="1" x14ac:dyDescent="0.2">
      <c r="A36" s="364"/>
      <c r="B36" s="321"/>
      <c r="C36" s="321"/>
      <c r="D36" s="373"/>
      <c r="E36" s="321"/>
      <c r="F36" s="321"/>
      <c r="G36" s="321"/>
      <c r="H36" s="368"/>
      <c r="I36" s="9"/>
      <c r="J36" s="1"/>
    </row>
    <row r="37" spans="1:13" ht="25.5" customHeight="1" x14ac:dyDescent="0.2">
      <c r="A37" s="53" t="s">
        <v>28</v>
      </c>
      <c r="B37" s="91">
        <v>4.5</v>
      </c>
      <c r="C37" s="52">
        <v>2</v>
      </c>
      <c r="D37" s="81">
        <v>248</v>
      </c>
      <c r="E37" s="54">
        <v>2232</v>
      </c>
      <c r="F37" s="54">
        <v>1302</v>
      </c>
      <c r="G37" s="54">
        <v>930</v>
      </c>
      <c r="H37" s="55">
        <v>77.5</v>
      </c>
      <c r="I37" s="9"/>
      <c r="J37" s="9"/>
      <c r="K37" s="9"/>
      <c r="L37" s="9"/>
      <c r="M37" s="9"/>
    </row>
    <row r="38" spans="1:13" ht="30" customHeight="1" x14ac:dyDescent="0.2">
      <c r="A38" s="53" t="s">
        <v>30</v>
      </c>
      <c r="B38" s="92">
        <v>4.5</v>
      </c>
      <c r="C38" s="52">
        <v>2</v>
      </c>
      <c r="D38" s="81">
        <v>248</v>
      </c>
      <c r="E38" s="54">
        <v>2232</v>
      </c>
      <c r="F38" s="54">
        <v>1728.56</v>
      </c>
      <c r="G38" s="54">
        <v>503.44</v>
      </c>
      <c r="H38" s="55">
        <v>41.95</v>
      </c>
      <c r="I38" s="9"/>
      <c r="J38" s="9"/>
      <c r="K38" s="9"/>
      <c r="L38" s="9"/>
      <c r="M38" s="9"/>
    </row>
    <row r="39" spans="1:13" ht="29.25" customHeight="1" x14ac:dyDescent="0.2">
      <c r="A39" s="53" t="s">
        <v>31</v>
      </c>
      <c r="B39" s="92">
        <v>4.5</v>
      </c>
      <c r="C39" s="52">
        <v>2</v>
      </c>
      <c r="D39" s="81">
        <v>248</v>
      </c>
      <c r="E39" s="54">
        <v>2232</v>
      </c>
      <c r="F39" s="54">
        <v>1180.48</v>
      </c>
      <c r="G39" s="54">
        <v>1051.52</v>
      </c>
      <c r="H39" s="55">
        <v>87.63</v>
      </c>
      <c r="I39" s="9"/>
      <c r="J39" s="9"/>
      <c r="K39" s="9"/>
      <c r="L39" s="9"/>
      <c r="M39" s="9"/>
    </row>
    <row r="40" spans="1:13" ht="13.5" thickBot="1" x14ac:dyDescent="0.25">
      <c r="A40" s="51" t="s">
        <v>32</v>
      </c>
      <c r="B40" s="94">
        <v>4.5</v>
      </c>
      <c r="C40" s="63">
        <v>2</v>
      </c>
      <c r="D40" s="82">
        <v>248</v>
      </c>
      <c r="E40" s="58">
        <v>2232</v>
      </c>
      <c r="F40" s="58">
        <v>2207.1999999999998</v>
      </c>
      <c r="G40" s="58">
        <v>24.8</v>
      </c>
      <c r="H40" s="64">
        <v>2.0699999999999998</v>
      </c>
      <c r="I40" s="9"/>
      <c r="J40" s="9"/>
      <c r="K40" s="9"/>
      <c r="L40" s="9"/>
      <c r="M40" s="9"/>
    </row>
    <row r="41" spans="1:13" ht="13.5" thickTop="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</row>
  </sheetData>
  <mergeCells count="65">
    <mergeCell ref="A2:G2"/>
    <mergeCell ref="A3:A5"/>
    <mergeCell ref="A23:A24"/>
    <mergeCell ref="J4:K4"/>
    <mergeCell ref="J11:L11"/>
    <mergeCell ref="J12:K12"/>
    <mergeCell ref="H3:H5"/>
    <mergeCell ref="D23:D24"/>
    <mergeCell ref="A31:A32"/>
    <mergeCell ref="B31:B32"/>
    <mergeCell ref="C31:C32"/>
    <mergeCell ref="M1:Q1"/>
    <mergeCell ref="F25:F26"/>
    <mergeCell ref="A22:H22"/>
    <mergeCell ref="E25:E26"/>
    <mergeCell ref="C25:C26"/>
    <mergeCell ref="J3:M3"/>
    <mergeCell ref="B25:B26"/>
    <mergeCell ref="E3:E5"/>
    <mergeCell ref="F3:F5"/>
    <mergeCell ref="G3:G5"/>
    <mergeCell ref="B3:B5"/>
    <mergeCell ref="A29:A30"/>
    <mergeCell ref="A25:A26"/>
    <mergeCell ref="F35:F36"/>
    <mergeCell ref="F27:F28"/>
    <mergeCell ref="E23:E24"/>
    <mergeCell ref="H35:H36"/>
    <mergeCell ref="H31:H32"/>
    <mergeCell ref="F31:F32"/>
    <mergeCell ref="G31:G32"/>
    <mergeCell ref="H27:H28"/>
    <mergeCell ref="H29:H30"/>
    <mergeCell ref="E31:E32"/>
    <mergeCell ref="G35:G36"/>
    <mergeCell ref="G29:G30"/>
    <mergeCell ref="F23:F24"/>
    <mergeCell ref="G23:G24"/>
    <mergeCell ref="F29:F30"/>
    <mergeCell ref="H25:H26"/>
    <mergeCell ref="A35:A36"/>
    <mergeCell ref="A21:G21"/>
    <mergeCell ref="B19:C19"/>
    <mergeCell ref="H23:H24"/>
    <mergeCell ref="G25:G26"/>
    <mergeCell ref="E35:E36"/>
    <mergeCell ref="B23:B24"/>
    <mergeCell ref="D25:D26"/>
    <mergeCell ref="A27:A28"/>
    <mergeCell ref="B27:B28"/>
    <mergeCell ref="D35:D36"/>
    <mergeCell ref="C23:C24"/>
    <mergeCell ref="G27:G28"/>
    <mergeCell ref="C27:C28"/>
    <mergeCell ref="D27:D28"/>
    <mergeCell ref="D31:D32"/>
    <mergeCell ref="B35:B36"/>
    <mergeCell ref="C35:C36"/>
    <mergeCell ref="C3:C5"/>
    <mergeCell ref="D3:D5"/>
    <mergeCell ref="E27:E28"/>
    <mergeCell ref="B29:B30"/>
    <mergeCell ref="C29:C30"/>
    <mergeCell ref="D29:D30"/>
    <mergeCell ref="E29:E30"/>
  </mergeCells>
  <pageMargins left="0.511811024" right="0.511811024" top="0.78740157499999996" bottom="0.78740157499999996" header="0.31496062000000002" footer="0.31496062000000002"/>
  <pageSetup paperSize="9" scale="69" orientation="landscape" verticalDpi="1200" r:id="rId1"/>
  <headerFooter>
    <oddHeader>&amp;C&amp;"English111 Vivace BT,Regular"&amp;48Supremo Tribunal Federal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X33"/>
  <sheetViews>
    <sheetView showGridLines="0" tabSelected="1" zoomScale="70" zoomScaleNormal="70" workbookViewId="0">
      <selection activeCell="B17" sqref="B17:O18"/>
    </sheetView>
  </sheetViews>
  <sheetFormatPr defaultRowHeight="15" x14ac:dyDescent="0.2"/>
  <cols>
    <col min="1" max="2" width="9.140625" style="99"/>
    <col min="3" max="3" width="16.85546875" style="99" customWidth="1"/>
    <col min="4" max="4" width="13.85546875" style="99" customWidth="1"/>
    <col min="5" max="5" width="15.28515625" style="99" customWidth="1"/>
    <col min="6" max="6" width="14.7109375" style="99" customWidth="1"/>
    <col min="7" max="7" width="17.5703125" style="99" customWidth="1"/>
    <col min="8" max="8" width="12.140625" style="99" customWidth="1"/>
    <col min="9" max="9" width="15" style="99" customWidth="1"/>
    <col min="10" max="10" width="14.42578125" style="99" customWidth="1"/>
    <col min="11" max="11" width="15.7109375" style="99" customWidth="1"/>
    <col min="12" max="12" width="14.7109375" style="99" customWidth="1"/>
    <col min="13" max="13" width="16.7109375" style="99" customWidth="1"/>
    <col min="14" max="14" width="13" style="99" customWidth="1"/>
    <col min="15" max="15" width="15.42578125" style="99" customWidth="1"/>
    <col min="16" max="16" width="16.5703125" style="99" customWidth="1"/>
    <col min="17" max="17" width="17.140625" style="99" customWidth="1"/>
    <col min="18" max="18" width="20.140625" style="99" customWidth="1"/>
    <col min="19" max="19" width="20.5703125" style="99" customWidth="1"/>
    <col min="20" max="21" width="0.28515625" style="99" customWidth="1"/>
    <col min="22" max="22" width="15.5703125" style="99" customWidth="1"/>
    <col min="23" max="23" width="21.28515625" style="99" bestFit="1" customWidth="1"/>
    <col min="24" max="24" width="15.140625" style="99" customWidth="1"/>
    <col min="25" max="26" width="16.140625" style="99" customWidth="1"/>
    <col min="27" max="27" width="20.7109375" style="99" customWidth="1"/>
    <col min="28" max="16384" width="9.140625" style="99"/>
  </cols>
  <sheetData>
    <row r="1" spans="2:21" ht="16.5" customHeight="1" x14ac:dyDescent="0.2">
      <c r="Q1" s="413"/>
      <c r="R1" s="414"/>
      <c r="S1" s="414"/>
      <c r="T1" s="414"/>
      <c r="U1" s="414"/>
    </row>
    <row r="2" spans="2:21" ht="56.25" customHeight="1" thickBot="1" x14ac:dyDescent="0.25">
      <c r="B2" s="427" t="s">
        <v>91</v>
      </c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428"/>
      <c r="N2" s="428"/>
      <c r="O2" s="428"/>
      <c r="P2" s="428"/>
      <c r="Q2" s="428"/>
      <c r="R2" s="428"/>
      <c r="S2" s="428"/>
      <c r="T2" s="256"/>
      <c r="U2" s="256"/>
    </row>
    <row r="3" spans="2:21" ht="26.25" customHeight="1" thickTop="1" x14ac:dyDescent="0.2">
      <c r="B3" s="415" t="s">
        <v>2</v>
      </c>
      <c r="C3" s="416"/>
      <c r="D3" s="416" t="s">
        <v>3</v>
      </c>
      <c r="E3" s="423" t="s">
        <v>92</v>
      </c>
      <c r="F3" s="419" t="s">
        <v>4</v>
      </c>
      <c r="G3" s="420"/>
      <c r="H3" s="420"/>
      <c r="I3" s="421"/>
      <c r="J3" s="420" t="s">
        <v>93</v>
      </c>
      <c r="K3" s="420"/>
      <c r="L3" s="421"/>
      <c r="M3" s="416" t="s">
        <v>5</v>
      </c>
      <c r="N3" s="422" t="s">
        <v>6</v>
      </c>
      <c r="O3" s="416" t="s">
        <v>7</v>
      </c>
      <c r="P3" s="423" t="s">
        <v>8</v>
      </c>
      <c r="Q3" s="416" t="s">
        <v>11</v>
      </c>
      <c r="R3" s="416" t="s">
        <v>12</v>
      </c>
      <c r="S3" s="431" t="s">
        <v>13</v>
      </c>
    </row>
    <row r="4" spans="2:21" ht="21" customHeight="1" x14ac:dyDescent="0.2">
      <c r="B4" s="417"/>
      <c r="C4" s="418"/>
      <c r="D4" s="418"/>
      <c r="E4" s="423"/>
      <c r="F4" s="418" t="s">
        <v>14</v>
      </c>
      <c r="G4" s="418" t="s">
        <v>16</v>
      </c>
      <c r="H4" s="418" t="s">
        <v>17</v>
      </c>
      <c r="I4" s="418" t="s">
        <v>18</v>
      </c>
      <c r="J4" s="433" t="s">
        <v>94</v>
      </c>
      <c r="K4" s="433" t="s">
        <v>20</v>
      </c>
      <c r="L4" s="418" t="s">
        <v>22</v>
      </c>
      <c r="M4" s="418"/>
      <c r="N4" s="418"/>
      <c r="O4" s="418"/>
      <c r="P4" s="423"/>
      <c r="Q4" s="418"/>
      <c r="R4" s="418" t="s">
        <v>23</v>
      </c>
      <c r="S4" s="431" t="s">
        <v>24</v>
      </c>
    </row>
    <row r="5" spans="2:21" ht="21" customHeight="1" x14ac:dyDescent="0.2">
      <c r="B5" s="417"/>
      <c r="C5" s="418"/>
      <c r="D5" s="418"/>
      <c r="E5" s="423"/>
      <c r="F5" s="418"/>
      <c r="G5" s="418"/>
      <c r="H5" s="418"/>
      <c r="I5" s="418"/>
      <c r="J5" s="434"/>
      <c r="K5" s="434"/>
      <c r="L5" s="418"/>
      <c r="M5" s="418"/>
      <c r="N5" s="418"/>
      <c r="O5" s="418"/>
      <c r="P5" s="423"/>
      <c r="Q5" s="418"/>
      <c r="R5" s="418"/>
      <c r="S5" s="431"/>
    </row>
    <row r="6" spans="2:21" ht="47.25" customHeight="1" x14ac:dyDescent="0.2">
      <c r="B6" s="417"/>
      <c r="C6" s="418"/>
      <c r="D6" s="418"/>
      <c r="E6" s="423"/>
      <c r="F6" s="418"/>
      <c r="G6" s="418"/>
      <c r="H6" s="418"/>
      <c r="I6" s="418"/>
      <c r="J6" s="434"/>
      <c r="K6" s="434"/>
      <c r="L6" s="418"/>
      <c r="M6" s="418"/>
      <c r="N6" s="418"/>
      <c r="O6" s="418"/>
      <c r="P6" s="258">
        <v>12</v>
      </c>
      <c r="Q6" s="418"/>
      <c r="R6" s="418"/>
      <c r="S6" s="431"/>
    </row>
    <row r="7" spans="2:21" ht="21" customHeight="1" x14ac:dyDescent="0.2">
      <c r="B7" s="417"/>
      <c r="C7" s="418"/>
      <c r="D7" s="418"/>
      <c r="E7" s="416"/>
      <c r="F7" s="418"/>
      <c r="G7" s="418"/>
      <c r="H7" s="259">
        <f>'ENCARGOS SOCIAIS'!C40</f>
        <v>0.71699999999999997</v>
      </c>
      <c r="I7" s="418"/>
      <c r="J7" s="435"/>
      <c r="K7" s="435"/>
      <c r="L7" s="418"/>
      <c r="M7" s="418"/>
      <c r="N7" s="260">
        <f>'ENCARGOS SOCIAIS'!J30</f>
        <v>0.31019999999999998</v>
      </c>
      <c r="O7" s="418"/>
      <c r="P7" s="258" t="s">
        <v>95</v>
      </c>
      <c r="Q7" s="418"/>
      <c r="R7" s="418"/>
      <c r="S7" s="432"/>
    </row>
    <row r="8" spans="2:21" ht="68.25" customHeight="1" x14ac:dyDescent="0.2">
      <c r="B8" s="425" t="s">
        <v>96</v>
      </c>
      <c r="C8" s="426"/>
      <c r="D8" s="257" t="s">
        <v>29</v>
      </c>
      <c r="E8" s="424" t="s">
        <v>97</v>
      </c>
      <c r="F8" s="261">
        <v>5827.22</v>
      </c>
      <c r="G8" s="261">
        <f>F8</f>
        <v>5827.22</v>
      </c>
      <c r="H8" s="262">
        <f>G8*$H$7</f>
        <v>4178.12</v>
      </c>
      <c r="I8" s="263">
        <f>SUM(G8:H8)</f>
        <v>10005.34</v>
      </c>
      <c r="J8" s="261">
        <f>'Horas VT, VR'!P6</f>
        <v>790.53</v>
      </c>
      <c r="K8" s="264">
        <f>'Horas VT, VR'!I32</f>
        <v>0</v>
      </c>
      <c r="L8" s="265">
        <f>J8+K8</f>
        <v>790.53</v>
      </c>
      <c r="M8" s="265">
        <f>I8+L8</f>
        <v>10795.87</v>
      </c>
      <c r="N8" s="261">
        <f>M8*$N$7</f>
        <v>3348.88</v>
      </c>
      <c r="O8" s="266">
        <f>M8+N8</f>
        <v>14144.75</v>
      </c>
      <c r="P8" s="266">
        <f>O8*$P$6</f>
        <v>169737</v>
      </c>
      <c r="Q8" s="267">
        <v>10</v>
      </c>
      <c r="R8" s="266">
        <f>Q8*O8</f>
        <v>141447.5</v>
      </c>
      <c r="S8" s="268">
        <f>R8*12</f>
        <v>1697370</v>
      </c>
      <c r="T8" s="269"/>
    </row>
    <row r="9" spans="2:21" ht="50.25" customHeight="1" x14ac:dyDescent="0.2">
      <c r="B9" s="425" t="s">
        <v>98</v>
      </c>
      <c r="C9" s="426"/>
      <c r="D9" s="257" t="s">
        <v>29</v>
      </c>
      <c r="E9" s="423"/>
      <c r="F9" s="261">
        <v>7125.45</v>
      </c>
      <c r="G9" s="261">
        <f t="shared" ref="G9:G11" si="0">F9</f>
        <v>7125.45</v>
      </c>
      <c r="H9" s="262">
        <f>G9*$H$7</f>
        <v>5108.95</v>
      </c>
      <c r="I9" s="263">
        <f>SUM(G9:H9)</f>
        <v>12234.4</v>
      </c>
      <c r="J9" s="261">
        <f>'Horas VT, VR'!P7</f>
        <v>790.53</v>
      </c>
      <c r="K9" s="270">
        <f>'Horas VT, VR'!I33</f>
        <v>0</v>
      </c>
      <c r="L9" s="265">
        <f>J9+K9</f>
        <v>790.53</v>
      </c>
      <c r="M9" s="265">
        <f>I9+L9</f>
        <v>13024.93</v>
      </c>
      <c r="N9" s="261">
        <f>M9*$N$7</f>
        <v>4040.33</v>
      </c>
      <c r="O9" s="266">
        <f>M9+N9</f>
        <v>17065.259999999998</v>
      </c>
      <c r="P9" s="266">
        <f t="shared" ref="P9:P11" si="1">O9*$P$6</f>
        <v>204783.12</v>
      </c>
      <c r="Q9" s="267">
        <v>4</v>
      </c>
      <c r="R9" s="266">
        <f>Q9*O9</f>
        <v>68261.039999999994</v>
      </c>
      <c r="S9" s="268">
        <f>R9*12</f>
        <v>819132.48</v>
      </c>
    </row>
    <row r="10" spans="2:21" ht="50.25" customHeight="1" x14ac:dyDescent="0.2">
      <c r="B10" s="425" t="s">
        <v>99</v>
      </c>
      <c r="C10" s="426"/>
      <c r="D10" s="257" t="s">
        <v>29</v>
      </c>
      <c r="E10" s="423"/>
      <c r="F10" s="261">
        <v>5995.85</v>
      </c>
      <c r="G10" s="261">
        <f t="shared" si="0"/>
        <v>5995.85</v>
      </c>
      <c r="H10" s="262">
        <f>G10*$H$7</f>
        <v>4299.0200000000004</v>
      </c>
      <c r="I10" s="263">
        <f>SUM(G10:H10)</f>
        <v>10294.870000000001</v>
      </c>
      <c r="J10" s="261">
        <f>'Horas VT, VR'!P8</f>
        <v>790.53</v>
      </c>
      <c r="K10" s="270">
        <f>'Horas VT, VR'!I34</f>
        <v>0</v>
      </c>
      <c r="L10" s="265">
        <f>J10+K10</f>
        <v>790.53</v>
      </c>
      <c r="M10" s="265">
        <f>I10+L10</f>
        <v>11085.4</v>
      </c>
      <c r="N10" s="261">
        <f>M10*$N$7</f>
        <v>3438.69</v>
      </c>
      <c r="O10" s="266">
        <f>M10+N10</f>
        <v>14524.09</v>
      </c>
      <c r="P10" s="266">
        <f t="shared" si="1"/>
        <v>174289.08</v>
      </c>
      <c r="Q10" s="267">
        <v>2</v>
      </c>
      <c r="R10" s="266">
        <f>Q10*O10</f>
        <v>29048.18</v>
      </c>
      <c r="S10" s="268">
        <f>R10*12</f>
        <v>348578.16</v>
      </c>
    </row>
    <row r="11" spans="2:21" ht="50.25" customHeight="1" x14ac:dyDescent="0.2">
      <c r="B11" s="425" t="s">
        <v>100</v>
      </c>
      <c r="C11" s="426"/>
      <c r="D11" s="257" t="s">
        <v>33</v>
      </c>
      <c r="E11" s="416"/>
      <c r="F11" s="261">
        <v>10178.280000000001</v>
      </c>
      <c r="G11" s="261">
        <f t="shared" si="0"/>
        <v>10178.280000000001</v>
      </c>
      <c r="H11" s="262">
        <f>G11*$H$7</f>
        <v>7297.83</v>
      </c>
      <c r="I11" s="263">
        <f>SUM(G11:H11)</f>
        <v>17476.11</v>
      </c>
      <c r="J11" s="261">
        <f>'Horas VT, VR'!P9</f>
        <v>790.53</v>
      </c>
      <c r="K11" s="270">
        <f>'Horas VT, VR'!I35</f>
        <v>0</v>
      </c>
      <c r="L11" s="265">
        <f>J11+K11</f>
        <v>790.53</v>
      </c>
      <c r="M11" s="265">
        <f>I11+L11</f>
        <v>18266.64</v>
      </c>
      <c r="N11" s="261">
        <f>M11*$N$7</f>
        <v>5666.31</v>
      </c>
      <c r="O11" s="266">
        <f>M11+N11</f>
        <v>23932.95</v>
      </c>
      <c r="P11" s="266">
        <f t="shared" si="1"/>
        <v>287195.40000000002</v>
      </c>
      <c r="Q11" s="267">
        <v>1</v>
      </c>
      <c r="R11" s="266">
        <f>Q11*O11</f>
        <v>23932.95</v>
      </c>
      <c r="S11" s="268">
        <f>R11*12</f>
        <v>287195.40000000002</v>
      </c>
    </row>
    <row r="12" spans="2:21" ht="50.25" customHeight="1" thickBot="1" x14ac:dyDescent="0.25">
      <c r="B12" s="429" t="s">
        <v>34</v>
      </c>
      <c r="C12" s="430"/>
      <c r="D12" s="271"/>
      <c r="E12" s="272"/>
      <c r="F12" s="272"/>
      <c r="G12" s="272"/>
      <c r="H12" s="273"/>
      <c r="I12" s="274">
        <f>SUM(I8:I11)</f>
        <v>50010.720000000001</v>
      </c>
      <c r="J12" s="436"/>
      <c r="K12" s="437"/>
      <c r="L12" s="274">
        <f>SUM(L8:L11)</f>
        <v>3162.12</v>
      </c>
      <c r="M12" s="275">
        <f>SUM(M8:M11)</f>
        <v>53172.84</v>
      </c>
      <c r="N12" s="276"/>
      <c r="O12" s="277"/>
      <c r="P12" s="277"/>
      <c r="Q12" s="278">
        <f>SUM(Q8:Q11)</f>
        <v>17</v>
      </c>
      <c r="R12" s="274">
        <f>SUM(R8:R11)</f>
        <v>262689.67</v>
      </c>
      <c r="S12" s="279">
        <f>SUM(S8:S11)</f>
        <v>3152276.04</v>
      </c>
    </row>
    <row r="13" spans="2:21" ht="32.25" customHeight="1" thickTop="1" x14ac:dyDescent="0.2">
      <c r="B13" s="412" t="s">
        <v>262</v>
      </c>
      <c r="C13" s="399"/>
      <c r="D13" s="399"/>
      <c r="E13" s="399"/>
      <c r="F13" s="399"/>
      <c r="G13" s="399"/>
      <c r="H13" s="399"/>
      <c r="I13" s="399"/>
      <c r="J13" s="399"/>
      <c r="K13" s="399"/>
      <c r="L13" s="399"/>
      <c r="M13" s="399"/>
      <c r="N13" s="399"/>
      <c r="O13" s="400"/>
      <c r="P13" s="255" t="s">
        <v>101</v>
      </c>
      <c r="Q13" s="280" t="s">
        <v>102</v>
      </c>
      <c r="R13" s="255" t="s">
        <v>103</v>
      </c>
      <c r="S13" s="281" t="s">
        <v>104</v>
      </c>
    </row>
    <row r="14" spans="2:21" ht="17.25" customHeight="1" thickBot="1" x14ac:dyDescent="0.25">
      <c r="B14" s="401"/>
      <c r="C14" s="402"/>
      <c r="D14" s="402"/>
      <c r="E14" s="402"/>
      <c r="F14" s="402"/>
      <c r="G14" s="402"/>
      <c r="H14" s="402"/>
      <c r="I14" s="402"/>
      <c r="J14" s="402"/>
      <c r="K14" s="402"/>
      <c r="L14" s="402"/>
      <c r="M14" s="402"/>
      <c r="N14" s="402"/>
      <c r="O14" s="403"/>
      <c r="P14" s="282">
        <v>1</v>
      </c>
      <c r="Q14" s="283">
        <v>494.06</v>
      </c>
      <c r="R14" s="284">
        <f>P14*Q14</f>
        <v>494.06</v>
      </c>
      <c r="S14" s="285">
        <f>R14*P6</f>
        <v>5928.72</v>
      </c>
    </row>
    <row r="15" spans="2:21" ht="32.25" customHeight="1" thickTop="1" x14ac:dyDescent="0.2">
      <c r="B15" s="412" t="s">
        <v>263</v>
      </c>
      <c r="C15" s="399"/>
      <c r="D15" s="399"/>
      <c r="E15" s="399"/>
      <c r="F15" s="399"/>
      <c r="G15" s="399"/>
      <c r="H15" s="399"/>
      <c r="I15" s="399"/>
      <c r="J15" s="399"/>
      <c r="K15" s="399"/>
      <c r="L15" s="399"/>
      <c r="M15" s="399"/>
      <c r="N15" s="399"/>
      <c r="O15" s="400"/>
      <c r="P15" s="255" t="s">
        <v>101</v>
      </c>
      <c r="Q15" s="280" t="s">
        <v>102</v>
      </c>
      <c r="R15" s="255" t="s">
        <v>103</v>
      </c>
      <c r="S15" s="281" t="s">
        <v>104</v>
      </c>
    </row>
    <row r="16" spans="2:21" ht="16.5" thickBot="1" x14ac:dyDescent="0.25">
      <c r="B16" s="401"/>
      <c r="C16" s="402"/>
      <c r="D16" s="402"/>
      <c r="E16" s="402"/>
      <c r="F16" s="402"/>
      <c r="G16" s="402"/>
      <c r="H16" s="402"/>
      <c r="I16" s="402"/>
      <c r="J16" s="402"/>
      <c r="K16" s="402"/>
      <c r="L16" s="402"/>
      <c r="M16" s="402"/>
      <c r="N16" s="402"/>
      <c r="O16" s="403"/>
      <c r="P16" s="312">
        <f>Q12</f>
        <v>17</v>
      </c>
      <c r="Q16" s="286">
        <v>3</v>
      </c>
      <c r="R16" s="284">
        <f>P16*Q16</f>
        <v>51</v>
      </c>
      <c r="S16" s="285">
        <f>R16*P6</f>
        <v>612</v>
      </c>
    </row>
    <row r="17" spans="2:24" ht="16.5" thickTop="1" x14ac:dyDescent="0.2">
      <c r="B17" s="412" t="s">
        <v>264</v>
      </c>
      <c r="C17" s="399"/>
      <c r="D17" s="399"/>
      <c r="E17" s="399"/>
      <c r="F17" s="399"/>
      <c r="G17" s="399"/>
      <c r="H17" s="399"/>
      <c r="I17" s="399"/>
      <c r="J17" s="399"/>
      <c r="K17" s="399"/>
      <c r="L17" s="399"/>
      <c r="M17" s="399"/>
      <c r="N17" s="399"/>
      <c r="O17" s="400"/>
      <c r="P17" s="255" t="s">
        <v>101</v>
      </c>
      <c r="Q17" s="280" t="s">
        <v>102</v>
      </c>
      <c r="R17" s="255" t="s">
        <v>103</v>
      </c>
      <c r="S17" s="281" t="s">
        <v>104</v>
      </c>
    </row>
    <row r="18" spans="2:24" ht="16.5" thickBot="1" x14ac:dyDescent="0.25">
      <c r="B18" s="401"/>
      <c r="C18" s="402"/>
      <c r="D18" s="402"/>
      <c r="E18" s="402"/>
      <c r="F18" s="402"/>
      <c r="G18" s="402"/>
      <c r="H18" s="402"/>
      <c r="I18" s="402"/>
      <c r="J18" s="402"/>
      <c r="K18" s="402"/>
      <c r="L18" s="402"/>
      <c r="M18" s="402"/>
      <c r="N18" s="402"/>
      <c r="O18" s="403"/>
      <c r="P18" s="313">
        <f>Q12</f>
        <v>17</v>
      </c>
      <c r="Q18" s="305">
        <v>221.88</v>
      </c>
      <c r="R18" s="306">
        <f>Q18*P18</f>
        <v>3771.96</v>
      </c>
      <c r="S18" s="285">
        <f>R18*P6</f>
        <v>45263.519999999997</v>
      </c>
    </row>
    <row r="19" spans="2:24" ht="33" customHeight="1" thickTop="1" x14ac:dyDescent="0.2">
      <c r="B19" s="398" t="s">
        <v>256</v>
      </c>
      <c r="C19" s="399"/>
      <c r="D19" s="399"/>
      <c r="E19" s="399"/>
      <c r="F19" s="399"/>
      <c r="G19" s="399"/>
      <c r="H19" s="399"/>
      <c r="I19" s="399"/>
      <c r="J19" s="399"/>
      <c r="K19" s="399"/>
      <c r="L19" s="399"/>
      <c r="M19" s="399"/>
      <c r="N19" s="399"/>
      <c r="O19" s="400"/>
      <c r="P19" s="255" t="s">
        <v>101</v>
      </c>
      <c r="Q19" s="280" t="s">
        <v>102</v>
      </c>
      <c r="R19" s="255" t="s">
        <v>103</v>
      </c>
      <c r="S19" s="281" t="s">
        <v>104</v>
      </c>
    </row>
    <row r="20" spans="2:24" ht="16.5" thickBot="1" x14ac:dyDescent="0.25">
      <c r="B20" s="401"/>
      <c r="C20" s="402"/>
      <c r="D20" s="402"/>
      <c r="E20" s="402"/>
      <c r="F20" s="402"/>
      <c r="G20" s="402"/>
      <c r="H20" s="402"/>
      <c r="I20" s="402"/>
      <c r="J20" s="402"/>
      <c r="K20" s="402"/>
      <c r="L20" s="402"/>
      <c r="M20" s="402"/>
      <c r="N20" s="402"/>
      <c r="O20" s="403"/>
      <c r="P20" s="282" t="s">
        <v>105</v>
      </c>
      <c r="Q20" s="286" t="s">
        <v>105</v>
      </c>
      <c r="R20" s="302">
        <f>S20/P6</f>
        <v>249.07</v>
      </c>
      <c r="S20" s="285">
        <f>'Ferramentas Individuais'!J18</f>
        <v>2988.78</v>
      </c>
    </row>
    <row r="21" spans="2:24" ht="45.75" customHeight="1" thickTop="1" x14ac:dyDescent="0.2">
      <c r="B21" s="398" t="s">
        <v>257</v>
      </c>
      <c r="C21" s="404"/>
      <c r="D21" s="404"/>
      <c r="E21" s="404"/>
      <c r="F21" s="404"/>
      <c r="G21" s="404"/>
      <c r="H21" s="404"/>
      <c r="I21" s="404"/>
      <c r="J21" s="404"/>
      <c r="K21" s="404"/>
      <c r="L21" s="404"/>
      <c r="M21" s="404"/>
      <c r="N21" s="404"/>
      <c r="O21" s="405"/>
      <c r="P21" s="255" t="s">
        <v>101</v>
      </c>
      <c r="Q21" s="280" t="s">
        <v>106</v>
      </c>
      <c r="R21" s="255" t="s">
        <v>107</v>
      </c>
      <c r="S21" s="281" t="s">
        <v>104</v>
      </c>
    </row>
    <row r="22" spans="2:24" ht="16.5" thickBot="1" x14ac:dyDescent="0.25">
      <c r="B22" s="406"/>
      <c r="C22" s="407"/>
      <c r="D22" s="407"/>
      <c r="E22" s="407"/>
      <c r="F22" s="407"/>
      <c r="G22" s="407"/>
      <c r="H22" s="407"/>
      <c r="I22" s="407"/>
      <c r="J22" s="407"/>
      <c r="K22" s="407"/>
      <c r="L22" s="407"/>
      <c r="M22" s="407"/>
      <c r="N22" s="407"/>
      <c r="O22" s="408"/>
      <c r="P22" s="282">
        <f>Q12</f>
        <v>17</v>
      </c>
      <c r="Q22" s="283">
        <f>Uniforme!E21</f>
        <v>256.67</v>
      </c>
      <c r="R22" s="284">
        <f>S22/P6</f>
        <v>4363.3900000000003</v>
      </c>
      <c r="S22" s="285">
        <f>P22*Q22*P6</f>
        <v>52360.68</v>
      </c>
    </row>
    <row r="23" spans="2:24" ht="32.25" customHeight="1" thickTop="1" x14ac:dyDescent="0.2">
      <c r="B23" s="398" t="s">
        <v>260</v>
      </c>
      <c r="C23" s="404"/>
      <c r="D23" s="404"/>
      <c r="E23" s="404"/>
      <c r="F23" s="404"/>
      <c r="G23" s="404"/>
      <c r="H23" s="404"/>
      <c r="I23" s="404"/>
      <c r="J23" s="404"/>
      <c r="K23" s="404"/>
      <c r="L23" s="404"/>
      <c r="M23" s="404"/>
      <c r="N23" s="404"/>
      <c r="O23" s="405"/>
      <c r="P23" s="255" t="s">
        <v>101</v>
      </c>
      <c r="Q23" s="280" t="s">
        <v>102</v>
      </c>
      <c r="R23" s="255" t="s">
        <v>103</v>
      </c>
      <c r="S23" s="281" t="s">
        <v>104</v>
      </c>
    </row>
    <row r="24" spans="2:24" ht="16.5" thickBot="1" x14ac:dyDescent="0.25">
      <c r="B24" s="406"/>
      <c r="C24" s="407"/>
      <c r="D24" s="407"/>
      <c r="E24" s="407"/>
      <c r="F24" s="407"/>
      <c r="G24" s="407"/>
      <c r="H24" s="407"/>
      <c r="I24" s="407"/>
      <c r="J24" s="407"/>
      <c r="K24" s="407"/>
      <c r="L24" s="407"/>
      <c r="M24" s="407"/>
      <c r="N24" s="407"/>
      <c r="O24" s="408"/>
      <c r="P24" s="287" t="s">
        <v>105</v>
      </c>
      <c r="Q24" s="286" t="s">
        <v>105</v>
      </c>
      <c r="R24" s="284">
        <f>S24/P6</f>
        <v>4577.37</v>
      </c>
      <c r="S24" s="285">
        <v>54928.480000000003</v>
      </c>
    </row>
    <row r="25" spans="2:24" ht="39.950000000000003" customHeight="1" thickTop="1" thickBot="1" x14ac:dyDescent="0.25">
      <c r="B25" s="409" t="s">
        <v>41</v>
      </c>
      <c r="C25" s="410"/>
      <c r="D25" s="410"/>
      <c r="E25" s="410"/>
      <c r="F25" s="410"/>
      <c r="G25" s="410"/>
      <c r="H25" s="410"/>
      <c r="I25" s="410"/>
      <c r="J25" s="410"/>
      <c r="K25" s="410"/>
      <c r="L25" s="410"/>
      <c r="M25" s="410"/>
      <c r="N25" s="410"/>
      <c r="O25" s="410"/>
      <c r="P25" s="410"/>
      <c r="Q25" s="411"/>
      <c r="R25" s="288">
        <f>SUM(R14+R16+R18+R20+R22+R24)</f>
        <v>13506.85</v>
      </c>
      <c r="S25" s="289">
        <f>SUM(S14+S16+S18+S20+S22+S24)</f>
        <v>162082.18</v>
      </c>
    </row>
    <row r="26" spans="2:24" ht="39.950000000000003" customHeight="1" thickTop="1" thickBot="1" x14ac:dyDescent="0.25">
      <c r="B26" s="409" t="s">
        <v>42</v>
      </c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1"/>
      <c r="R26" s="290">
        <f>R12+R25</f>
        <v>276196.52</v>
      </c>
      <c r="S26" s="291">
        <f>S12+S25</f>
        <v>3314358.22</v>
      </c>
      <c r="T26" s="269"/>
      <c r="U26" s="292"/>
    </row>
    <row r="27" spans="2:24" ht="15.75" customHeight="1" thickTop="1" x14ac:dyDescent="0.25">
      <c r="J27" s="293"/>
      <c r="K27" s="294"/>
      <c r="L27" s="294"/>
      <c r="M27" s="294"/>
      <c r="N27" s="294"/>
      <c r="O27" s="294"/>
      <c r="R27" s="295"/>
      <c r="S27" s="295"/>
      <c r="T27" s="295"/>
      <c r="V27" s="296"/>
      <c r="W27" s="296"/>
      <c r="X27" s="296"/>
    </row>
    <row r="28" spans="2:24" ht="16.5" customHeight="1" x14ac:dyDescent="0.2">
      <c r="I28" s="100"/>
      <c r="K28" s="294"/>
      <c r="L28" s="294"/>
      <c r="M28" s="294"/>
      <c r="N28" s="294"/>
      <c r="O28" s="294"/>
      <c r="T28" s="292"/>
    </row>
    <row r="29" spans="2:24" ht="15.75" x14ac:dyDescent="0.25">
      <c r="G29" s="297"/>
      <c r="H29" s="298"/>
      <c r="K29" s="295"/>
      <c r="L29" s="295"/>
      <c r="M29" s="295"/>
      <c r="N29" s="295"/>
      <c r="O29" s="295"/>
      <c r="T29" s="299"/>
      <c r="U29" s="299"/>
    </row>
    <row r="30" spans="2:24" ht="15.75" x14ac:dyDescent="0.25">
      <c r="H30" s="269"/>
      <c r="I30" s="298"/>
      <c r="K30" s="295"/>
      <c r="L30" s="295"/>
      <c r="M30" s="295"/>
      <c r="N30" s="295"/>
      <c r="O30" s="295"/>
      <c r="T30" s="299"/>
    </row>
    <row r="31" spans="2:24" ht="15.75" x14ac:dyDescent="0.25">
      <c r="H31" s="269"/>
      <c r="K31" s="295"/>
      <c r="L31" s="295"/>
      <c r="M31" s="295"/>
      <c r="N31" s="295"/>
      <c r="O31" s="295"/>
      <c r="R31" s="299"/>
      <c r="S31" s="299"/>
    </row>
    <row r="32" spans="2:24" ht="15.75" x14ac:dyDescent="0.25">
      <c r="H32" s="269"/>
      <c r="K32" s="300"/>
      <c r="L32" s="295"/>
      <c r="M32" s="295"/>
      <c r="N32" s="295"/>
      <c r="O32" s="295"/>
    </row>
    <row r="33" spans="11:11" ht="15.75" x14ac:dyDescent="0.25">
      <c r="K33" s="300"/>
    </row>
  </sheetData>
  <mergeCells count="36">
    <mergeCell ref="H4:H6"/>
    <mergeCell ref="B2:S2"/>
    <mergeCell ref="B12:C12"/>
    <mergeCell ref="B13:O14"/>
    <mergeCell ref="B15:O16"/>
    <mergeCell ref="B9:C9"/>
    <mergeCell ref="B10:C10"/>
    <mergeCell ref="B11:C11"/>
    <mergeCell ref="S3:S7"/>
    <mergeCell ref="I4:I7"/>
    <mergeCell ref="K4:K7"/>
    <mergeCell ref="J12:K12"/>
    <mergeCell ref="P3:P5"/>
    <mergeCell ref="J4:J7"/>
    <mergeCell ref="Q3:Q7"/>
    <mergeCell ref="B17:O18"/>
    <mergeCell ref="Q1:U1"/>
    <mergeCell ref="B3:C7"/>
    <mergeCell ref="D3:D7"/>
    <mergeCell ref="F3:I3"/>
    <mergeCell ref="L4:L7"/>
    <mergeCell ref="F4:F7"/>
    <mergeCell ref="N3:N6"/>
    <mergeCell ref="M3:M7"/>
    <mergeCell ref="G4:G7"/>
    <mergeCell ref="J3:L3"/>
    <mergeCell ref="R3:R7"/>
    <mergeCell ref="O3:O7"/>
    <mergeCell ref="E3:E7"/>
    <mergeCell ref="E8:E11"/>
    <mergeCell ref="B8:C8"/>
    <mergeCell ref="B19:O20"/>
    <mergeCell ref="B21:O22"/>
    <mergeCell ref="B23:O24"/>
    <mergeCell ref="B25:Q25"/>
    <mergeCell ref="B26:Q26"/>
  </mergeCells>
  <printOptions horizontalCentered="1" verticalCentered="1"/>
  <pageMargins left="0.25" right="0.25" top="0.75" bottom="0.75" header="0.3" footer="0.3"/>
  <pageSetup paperSize="9" scale="52" orientation="landscape" r:id="rId1"/>
  <headerFooter alignWithMargins="0">
    <oddHeader>&amp;C&amp;"English111 Vivace BT,Regular"&amp;48Supremo Tribunal Federal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46"/>
  <sheetViews>
    <sheetView showGridLines="0" topLeftCell="A10" zoomScaleNormal="100" zoomScaleSheetLayoutView="80" workbookViewId="0">
      <selection activeCell="F39" sqref="F39"/>
    </sheetView>
  </sheetViews>
  <sheetFormatPr defaultRowHeight="12.75" x14ac:dyDescent="0.2"/>
  <cols>
    <col min="1" max="1" width="9.5703125" customWidth="1"/>
    <col min="2" max="2" width="54.5703125" customWidth="1"/>
    <col min="3" max="3" width="13.28515625" customWidth="1"/>
    <col min="4" max="4" width="12.140625" customWidth="1"/>
    <col min="5" max="5" width="4.140625" customWidth="1"/>
    <col min="6" max="6" width="42.140625" customWidth="1"/>
    <col min="7" max="7" width="15.42578125" customWidth="1"/>
    <col min="8" max="10" width="15.7109375" customWidth="1"/>
  </cols>
  <sheetData>
    <row r="1" spans="1:8" ht="12.75" customHeight="1" x14ac:dyDescent="0.2">
      <c r="A1" s="461" t="s">
        <v>108</v>
      </c>
      <c r="B1" s="462"/>
      <c r="C1" s="462"/>
      <c r="D1" s="127"/>
      <c r="E1" s="128"/>
      <c r="F1" s="471" t="s">
        <v>109</v>
      </c>
      <c r="G1" s="471"/>
      <c r="H1" s="471"/>
    </row>
    <row r="2" spans="1:8" ht="15.75" customHeight="1" thickBot="1" x14ac:dyDescent="0.25">
      <c r="A2" s="463" t="s">
        <v>110</v>
      </c>
      <c r="B2" s="464"/>
      <c r="C2" s="464"/>
      <c r="D2" s="127"/>
      <c r="E2" s="128"/>
      <c r="F2" s="471"/>
      <c r="G2" s="471"/>
      <c r="H2" s="471"/>
    </row>
    <row r="3" spans="1:8" ht="13.5" hidden="1" thickBot="1" x14ac:dyDescent="0.25">
      <c r="A3" s="129"/>
      <c r="B3" s="130"/>
      <c r="C3" s="130"/>
      <c r="D3" s="130"/>
      <c r="E3" s="128"/>
      <c r="F3" s="128"/>
      <c r="G3" s="128"/>
    </row>
    <row r="4" spans="1:8" ht="78.75" customHeight="1" thickTop="1" x14ac:dyDescent="0.2">
      <c r="A4" s="465" t="s">
        <v>111</v>
      </c>
      <c r="B4" s="467" t="s">
        <v>112</v>
      </c>
      <c r="C4" s="469" t="s">
        <v>113</v>
      </c>
      <c r="D4" s="470"/>
      <c r="E4" s="128"/>
      <c r="F4" s="308" t="s">
        <v>111</v>
      </c>
      <c r="G4" s="309" t="s">
        <v>259</v>
      </c>
      <c r="H4" s="309" t="s">
        <v>134</v>
      </c>
    </row>
    <row r="5" spans="1:8" x14ac:dyDescent="0.2">
      <c r="A5" s="466"/>
      <c r="B5" s="468"/>
      <c r="C5" s="207">
        <v>0.03</v>
      </c>
      <c r="D5" s="131">
        <v>2</v>
      </c>
      <c r="E5" s="128"/>
      <c r="F5" s="310"/>
      <c r="G5" s="311"/>
      <c r="H5" s="311"/>
    </row>
    <row r="6" spans="1:8" ht="4.5" customHeight="1" x14ac:dyDescent="0.2">
      <c r="A6" s="132"/>
      <c r="B6" s="133"/>
      <c r="C6" s="134"/>
      <c r="D6" s="135"/>
      <c r="E6" s="128"/>
      <c r="F6" s="132"/>
      <c r="G6" s="136"/>
    </row>
    <row r="7" spans="1:8" x14ac:dyDescent="0.2">
      <c r="A7" s="455" t="s">
        <v>114</v>
      </c>
      <c r="B7" s="456"/>
      <c r="C7" s="457" t="s">
        <v>57</v>
      </c>
      <c r="D7" s="458"/>
      <c r="E7" s="128"/>
      <c r="F7" s="137" t="s">
        <v>114</v>
      </c>
      <c r="G7" s="138">
        <f>C16</f>
        <v>0.39800000000000002</v>
      </c>
      <c r="H7" s="138">
        <f>C16</f>
        <v>0.39800000000000002</v>
      </c>
    </row>
    <row r="8" spans="1:8" ht="13.5" thickBot="1" x14ac:dyDescent="0.25">
      <c r="A8" s="139">
        <v>1</v>
      </c>
      <c r="B8" s="140" t="s">
        <v>115</v>
      </c>
      <c r="C8" s="459">
        <v>0.2</v>
      </c>
      <c r="D8" s="460"/>
      <c r="E8" s="128"/>
      <c r="F8" s="141" t="s">
        <v>116</v>
      </c>
      <c r="G8" s="142" t="s">
        <v>57</v>
      </c>
      <c r="H8" s="142" t="s">
        <v>57</v>
      </c>
    </row>
    <row r="9" spans="1:8" x14ac:dyDescent="0.2">
      <c r="A9" s="139">
        <v>2</v>
      </c>
      <c r="B9" s="140" t="s">
        <v>117</v>
      </c>
      <c r="C9" s="459">
        <v>1.4999999999999999E-2</v>
      </c>
      <c r="D9" s="460"/>
      <c r="E9" s="128"/>
      <c r="F9" s="143" t="s">
        <v>118</v>
      </c>
      <c r="G9" s="144">
        <f>C19</f>
        <v>8.3299999999999999E-2</v>
      </c>
      <c r="H9" s="144">
        <f>D19</f>
        <v>9.0899999999999995E-2</v>
      </c>
    </row>
    <row r="10" spans="1:8" ht="13.5" thickBot="1" x14ac:dyDescent="0.25">
      <c r="A10" s="139">
        <v>3</v>
      </c>
      <c r="B10" s="140" t="s">
        <v>119</v>
      </c>
      <c r="C10" s="459">
        <v>0.01</v>
      </c>
      <c r="D10" s="460"/>
      <c r="E10" s="128"/>
      <c r="F10" s="145" t="s">
        <v>120</v>
      </c>
      <c r="G10" s="146">
        <f>C20</f>
        <v>8.3299999999999999E-2</v>
      </c>
      <c r="H10" s="146">
        <f>D20</f>
        <v>9.0899999999999995E-2</v>
      </c>
    </row>
    <row r="11" spans="1:8" ht="13.5" thickBot="1" x14ac:dyDescent="0.25">
      <c r="A11" s="139">
        <v>4</v>
      </c>
      <c r="B11" s="140" t="s">
        <v>121</v>
      </c>
      <c r="C11" s="459">
        <v>2E-3</v>
      </c>
      <c r="D11" s="460"/>
      <c r="E11" s="128"/>
      <c r="F11" s="147" t="s">
        <v>122</v>
      </c>
      <c r="G11" s="148">
        <f>SUM(G9:G10)</f>
        <v>0.1666</v>
      </c>
      <c r="H11" s="148">
        <f>SUM(H9:H10)</f>
        <v>0.18179999999999999</v>
      </c>
    </row>
    <row r="12" spans="1:8" ht="13.5" thickBot="1" x14ac:dyDescent="0.25">
      <c r="A12" s="139">
        <v>5</v>
      </c>
      <c r="B12" s="140" t="s">
        <v>123</v>
      </c>
      <c r="C12" s="459">
        <v>2.5000000000000001E-2</v>
      </c>
      <c r="D12" s="460"/>
      <c r="E12" s="128"/>
      <c r="F12" s="147" t="s">
        <v>124</v>
      </c>
      <c r="G12" s="148">
        <f>G11*(G7)</f>
        <v>6.6299999999999998E-2</v>
      </c>
      <c r="H12" s="148">
        <f>H11*(H7)</f>
        <v>7.2400000000000006E-2</v>
      </c>
    </row>
    <row r="13" spans="1:8" ht="13.5" customHeight="1" x14ac:dyDescent="0.2">
      <c r="A13" s="139">
        <v>6</v>
      </c>
      <c r="B13" s="140" t="s">
        <v>125</v>
      </c>
      <c r="C13" s="459">
        <v>0.08</v>
      </c>
      <c r="D13" s="460"/>
      <c r="E13" s="128"/>
      <c r="F13" s="149" t="s">
        <v>126</v>
      </c>
      <c r="G13" s="150">
        <f>C21</f>
        <v>2.7799999999999998E-2</v>
      </c>
      <c r="H13" s="150">
        <f>D21</f>
        <v>3.0300000000000001E-2</v>
      </c>
    </row>
    <row r="14" spans="1:8" ht="13.5" customHeight="1" thickBot="1" x14ac:dyDescent="0.25">
      <c r="A14" s="139">
        <v>7</v>
      </c>
      <c r="B14" s="140" t="s">
        <v>127</v>
      </c>
      <c r="C14" s="459">
        <f>C5*D5</f>
        <v>0.06</v>
      </c>
      <c r="D14" s="460"/>
      <c r="E14" s="128"/>
      <c r="F14" s="151" t="s">
        <v>128</v>
      </c>
      <c r="G14" s="146">
        <f>C32</f>
        <v>2.8799999999999999E-2</v>
      </c>
      <c r="H14" s="146">
        <f>C32</f>
        <v>2.8799999999999999E-2</v>
      </c>
    </row>
    <row r="15" spans="1:8" ht="13.5" customHeight="1" thickBot="1" x14ac:dyDescent="0.25">
      <c r="A15" s="139">
        <v>8</v>
      </c>
      <c r="B15" s="140" t="s">
        <v>129</v>
      </c>
      <c r="C15" s="459">
        <v>6.0000000000000001E-3</v>
      </c>
      <c r="D15" s="460"/>
      <c r="E15" s="128"/>
      <c r="F15" s="152" t="s">
        <v>130</v>
      </c>
      <c r="G15" s="153">
        <f>SUM(G11:G14)</f>
        <v>0.28949999999999998</v>
      </c>
      <c r="H15" s="153">
        <f>SUM(H11:H14)</f>
        <v>0.31330000000000002</v>
      </c>
    </row>
    <row r="16" spans="1:8" ht="13.5" customHeight="1" thickTop="1" x14ac:dyDescent="0.2">
      <c r="A16" s="472" t="s">
        <v>131</v>
      </c>
      <c r="B16" s="473"/>
      <c r="C16" s="474">
        <f>SUM(C8:C15)</f>
        <v>0.39800000000000002</v>
      </c>
      <c r="D16" s="475"/>
      <c r="E16" s="154"/>
      <c r="F16" s="128"/>
      <c r="G16" s="128"/>
      <c r="H16" s="155"/>
    </row>
    <row r="17" spans="1:10" ht="13.5" customHeight="1" x14ac:dyDescent="0.2">
      <c r="A17" s="156"/>
      <c r="B17" s="157"/>
      <c r="C17" s="158"/>
      <c r="D17" s="159"/>
      <c r="E17" s="154"/>
      <c r="F17" s="128"/>
      <c r="G17" s="128"/>
    </row>
    <row r="18" spans="1:10" ht="29.25" customHeight="1" x14ac:dyDescent="0.2">
      <c r="A18" s="455" t="s">
        <v>132</v>
      </c>
      <c r="B18" s="456"/>
      <c r="C18" s="242" t="s">
        <v>133</v>
      </c>
      <c r="D18" s="243" t="s">
        <v>134</v>
      </c>
      <c r="E18" s="128"/>
      <c r="F18" s="128"/>
      <c r="G18" s="128"/>
      <c r="H18" s="128"/>
    </row>
    <row r="19" spans="1:10" ht="13.5" customHeight="1" thickBot="1" x14ac:dyDescent="0.25">
      <c r="A19" s="139">
        <v>9</v>
      </c>
      <c r="B19" s="140" t="s">
        <v>135</v>
      </c>
      <c r="C19" s="244">
        <v>8.3299999999999999E-2</v>
      </c>
      <c r="D19" s="244">
        <v>9.0899999999999995E-2</v>
      </c>
      <c r="E19" s="128"/>
      <c r="F19" s="442" t="s">
        <v>136</v>
      </c>
      <c r="G19" s="442"/>
      <c r="H19" s="442"/>
      <c r="I19" s="442"/>
      <c r="J19" s="442"/>
    </row>
    <row r="20" spans="1:10" ht="13.5" customHeight="1" thickTop="1" x14ac:dyDescent="0.2">
      <c r="A20" s="139">
        <v>10</v>
      </c>
      <c r="B20" s="140" t="s">
        <v>137</v>
      </c>
      <c r="C20" s="244">
        <v>8.3299999999999999E-2</v>
      </c>
      <c r="D20" s="244">
        <v>9.0899999999999995E-2</v>
      </c>
      <c r="E20" s="128"/>
      <c r="F20" s="443" t="s">
        <v>138</v>
      </c>
      <c r="G20" s="444"/>
      <c r="H20" s="445"/>
      <c r="I20" s="444" t="s">
        <v>139</v>
      </c>
      <c r="J20" s="449" t="s">
        <v>140</v>
      </c>
    </row>
    <row r="21" spans="1:10" ht="13.5" customHeight="1" x14ac:dyDescent="0.2">
      <c r="A21" s="160">
        <v>11</v>
      </c>
      <c r="B21" s="161" t="s">
        <v>141</v>
      </c>
      <c r="C21" s="244">
        <v>2.7799999999999998E-2</v>
      </c>
      <c r="D21" s="244">
        <v>3.0300000000000001E-2</v>
      </c>
      <c r="E21" s="128"/>
      <c r="F21" s="446"/>
      <c r="G21" s="447"/>
      <c r="H21" s="448"/>
      <c r="I21" s="447"/>
      <c r="J21" s="450"/>
    </row>
    <row r="22" spans="1:10" ht="13.5" customHeight="1" x14ac:dyDescent="0.2">
      <c r="A22" s="139">
        <v>12</v>
      </c>
      <c r="B22" s="140" t="s">
        <v>142</v>
      </c>
      <c r="C22" s="476">
        <v>1.3899999999999999E-2</v>
      </c>
      <c r="D22" s="477"/>
      <c r="E22" s="128"/>
      <c r="F22" s="451" t="s">
        <v>56</v>
      </c>
      <c r="G22" s="452"/>
      <c r="H22" s="102"/>
      <c r="I22" s="102" t="s">
        <v>57</v>
      </c>
      <c r="J22" s="188" t="s">
        <v>57</v>
      </c>
    </row>
    <row r="23" spans="1:10" ht="13.5" customHeight="1" x14ac:dyDescent="0.2">
      <c r="A23" s="139">
        <v>13</v>
      </c>
      <c r="B23" s="162" t="s">
        <v>143</v>
      </c>
      <c r="C23" s="476">
        <v>2.0000000000000001E-4</v>
      </c>
      <c r="D23" s="477"/>
      <c r="E23" s="128"/>
      <c r="F23" s="440" t="s">
        <v>144</v>
      </c>
      <c r="G23" s="441"/>
      <c r="H23" s="102" t="s">
        <v>59</v>
      </c>
      <c r="I23" s="189">
        <v>0.05</v>
      </c>
      <c r="J23" s="190">
        <v>0.05</v>
      </c>
    </row>
    <row r="24" spans="1:10" ht="13.5" customHeight="1" x14ac:dyDescent="0.2">
      <c r="A24" s="139">
        <v>14</v>
      </c>
      <c r="B24" s="140" t="s">
        <v>145</v>
      </c>
      <c r="C24" s="476">
        <v>2.8E-3</v>
      </c>
      <c r="D24" s="477"/>
      <c r="E24" s="128"/>
      <c r="F24" s="440" t="s">
        <v>146</v>
      </c>
      <c r="G24" s="441"/>
      <c r="H24" s="102" t="s">
        <v>61</v>
      </c>
      <c r="I24" s="189">
        <v>7.0000000000000007E-2</v>
      </c>
      <c r="J24" s="190">
        <v>7.0000000000000007E-2</v>
      </c>
    </row>
    <row r="25" spans="1:10" ht="13.5" customHeight="1" x14ac:dyDescent="0.2">
      <c r="A25" s="139">
        <v>15</v>
      </c>
      <c r="B25" s="140" t="s">
        <v>147</v>
      </c>
      <c r="C25" s="476">
        <v>2.9999999999999997E-4</v>
      </c>
      <c r="D25" s="477"/>
      <c r="E25" s="128"/>
      <c r="F25" s="191" t="s">
        <v>62</v>
      </c>
      <c r="G25" s="192"/>
      <c r="H25" s="102" t="s">
        <v>63</v>
      </c>
      <c r="I25" s="189">
        <f>SUM(I26:I29)</f>
        <v>8.6499999999999994E-2</v>
      </c>
      <c r="J25" s="190">
        <f>SUM(J26:J29)</f>
        <v>0.14249999999999999</v>
      </c>
    </row>
    <row r="26" spans="1:10" ht="13.5" customHeight="1" x14ac:dyDescent="0.2">
      <c r="A26" s="472" t="s">
        <v>148</v>
      </c>
      <c r="B26" s="473"/>
      <c r="C26" s="245">
        <f>SUM(C19:C21)+SUM(C22:C25)</f>
        <v>0.21160000000000001</v>
      </c>
      <c r="D26" s="245">
        <f>SUM(D19:D21)+SUM(C22:D25)</f>
        <v>0.2293</v>
      </c>
      <c r="E26" s="154"/>
      <c r="F26" s="103"/>
      <c r="G26" s="193"/>
      <c r="H26" s="102" t="s">
        <v>64</v>
      </c>
      <c r="I26" s="194">
        <v>0.05</v>
      </c>
      <c r="J26" s="195">
        <v>0.05</v>
      </c>
    </row>
    <row r="27" spans="1:10" ht="13.5" customHeight="1" x14ac:dyDescent="0.2">
      <c r="A27" s="163"/>
      <c r="B27" s="164"/>
      <c r="C27" s="165"/>
      <c r="D27" s="166"/>
      <c r="E27" s="154"/>
      <c r="F27" s="103"/>
      <c r="G27" s="193"/>
      <c r="H27" s="102" t="s">
        <v>65</v>
      </c>
      <c r="I27" s="194">
        <v>0.03</v>
      </c>
      <c r="J27" s="195">
        <v>7.5999999999999998E-2</v>
      </c>
    </row>
    <row r="28" spans="1:10" ht="13.5" customHeight="1" x14ac:dyDescent="0.2">
      <c r="A28" s="455" t="s">
        <v>149</v>
      </c>
      <c r="B28" s="456"/>
      <c r="C28" s="457" t="s">
        <v>57</v>
      </c>
      <c r="D28" s="458"/>
      <c r="E28" s="128"/>
      <c r="F28" s="103"/>
      <c r="G28" s="193"/>
      <c r="H28" s="102" t="s">
        <v>66</v>
      </c>
      <c r="I28" s="194">
        <v>6.4999999999999997E-3</v>
      </c>
      <c r="J28" s="195">
        <v>1.6500000000000001E-2</v>
      </c>
    </row>
    <row r="29" spans="1:10" ht="13.5" customHeight="1" x14ac:dyDescent="0.2">
      <c r="A29" s="139">
        <v>16</v>
      </c>
      <c r="B29" s="162" t="s">
        <v>150</v>
      </c>
      <c r="C29" s="459">
        <v>4.1999999999999997E-3</v>
      </c>
      <c r="D29" s="460"/>
      <c r="E29" s="128"/>
      <c r="F29" s="196"/>
      <c r="G29" s="197"/>
      <c r="H29" s="102" t="s">
        <v>151</v>
      </c>
      <c r="I29" s="194">
        <v>0</v>
      </c>
      <c r="J29" s="195">
        <v>0</v>
      </c>
    </row>
    <row r="30" spans="1:10" ht="13.5" customHeight="1" x14ac:dyDescent="0.2">
      <c r="A30" s="139">
        <v>17</v>
      </c>
      <c r="B30" s="162" t="s">
        <v>152</v>
      </c>
      <c r="C30" s="459">
        <v>4.0000000000000002E-4</v>
      </c>
      <c r="D30" s="460"/>
      <c r="E30" s="128"/>
      <c r="F30" s="453" t="s">
        <v>153</v>
      </c>
      <c r="G30" s="454"/>
      <c r="H30" s="454"/>
      <c r="I30" s="198">
        <f>(((1+I23)*(1+I24))/(1-I25))-1</f>
        <v>0.22989999999999999</v>
      </c>
      <c r="J30" s="199">
        <f>(((1+J23)*(1+J24))/(1-J25))-1</f>
        <v>0.31019999999999998</v>
      </c>
    </row>
    <row r="31" spans="1:10" ht="13.5" customHeight="1" x14ac:dyDescent="0.2">
      <c r="A31" s="139">
        <v>18</v>
      </c>
      <c r="B31" s="140" t="s">
        <v>154</v>
      </c>
      <c r="C31" s="459">
        <v>8.0000000000000004E-4</v>
      </c>
      <c r="D31" s="460"/>
      <c r="E31" s="128"/>
      <c r="F31" s="438" t="s">
        <v>155</v>
      </c>
      <c r="G31" s="439"/>
      <c r="H31" s="200"/>
      <c r="I31" s="201"/>
      <c r="J31" s="202"/>
    </row>
    <row r="32" spans="1:10" ht="13.5" customHeight="1" x14ac:dyDescent="0.2">
      <c r="A32" s="139">
        <v>19</v>
      </c>
      <c r="B32" s="140" t="s">
        <v>156</v>
      </c>
      <c r="C32" s="459">
        <v>2.8799999999999999E-2</v>
      </c>
      <c r="D32" s="460"/>
      <c r="E32" s="128"/>
      <c r="F32" s="103"/>
      <c r="G32" s="101"/>
      <c r="H32" s="101"/>
      <c r="I32" s="101"/>
      <c r="J32" s="104"/>
    </row>
    <row r="33" spans="1:10" ht="13.5" customHeight="1" x14ac:dyDescent="0.2">
      <c r="A33" s="472" t="s">
        <v>157</v>
      </c>
      <c r="B33" s="473"/>
      <c r="C33" s="474">
        <f>SUM(C29:C32)</f>
        <v>3.4200000000000001E-2</v>
      </c>
      <c r="D33" s="475"/>
      <c r="E33" s="128"/>
      <c r="F33" s="105" t="s">
        <v>158</v>
      </c>
      <c r="G33" s="101"/>
      <c r="H33" s="101"/>
      <c r="I33" s="101"/>
      <c r="J33" s="104"/>
    </row>
    <row r="34" spans="1:10" ht="13.5" customHeight="1" x14ac:dyDescent="0.2">
      <c r="A34" s="163"/>
      <c r="B34" s="164"/>
      <c r="C34" s="165"/>
      <c r="D34" s="166"/>
      <c r="E34" s="128"/>
      <c r="F34" s="103" t="s">
        <v>71</v>
      </c>
      <c r="G34" s="101"/>
      <c r="H34" s="101"/>
      <c r="I34" s="101"/>
      <c r="J34" s="104"/>
    </row>
    <row r="35" spans="1:10" ht="13.5" customHeight="1" x14ac:dyDescent="0.2">
      <c r="A35" s="455" t="s">
        <v>159</v>
      </c>
      <c r="B35" s="456"/>
      <c r="C35" s="457" t="s">
        <v>57</v>
      </c>
      <c r="D35" s="458"/>
      <c r="E35" s="128"/>
      <c r="F35" s="103" t="s">
        <v>72</v>
      </c>
      <c r="G35" s="101"/>
      <c r="H35" s="101"/>
      <c r="I35" s="101"/>
      <c r="J35" s="104"/>
    </row>
    <row r="36" spans="1:10" ht="13.5" customHeight="1" thickBot="1" x14ac:dyDescent="0.25">
      <c r="A36" s="139">
        <v>20</v>
      </c>
      <c r="B36" s="162" t="s">
        <v>160</v>
      </c>
      <c r="C36" s="244">
        <f>C16*(C26-C21)</f>
        <v>7.3200000000000001E-2</v>
      </c>
      <c r="D36" s="244">
        <f>C16*(D26-D21)</f>
        <v>7.9200000000000007E-2</v>
      </c>
      <c r="E36" s="128"/>
      <c r="F36" s="106" t="s">
        <v>73</v>
      </c>
      <c r="G36" s="107"/>
      <c r="H36" s="107"/>
      <c r="I36" s="107"/>
      <c r="J36" s="108"/>
    </row>
    <row r="37" spans="1:10" ht="13.5" customHeight="1" thickTop="1" thickBot="1" x14ac:dyDescent="0.25">
      <c r="A37" s="472" t="s">
        <v>161</v>
      </c>
      <c r="B37" s="473"/>
      <c r="C37" s="237">
        <f>SUM(C36)</f>
        <v>7.3200000000000001E-2</v>
      </c>
      <c r="D37" s="237">
        <f>SUM(D36)</f>
        <v>7.9200000000000007E-2</v>
      </c>
      <c r="E37" s="128"/>
      <c r="F37" s="106" t="s">
        <v>162</v>
      </c>
      <c r="G37" s="107"/>
      <c r="H37" s="107"/>
      <c r="I37" s="107"/>
      <c r="J37" s="108"/>
    </row>
    <row r="38" spans="1:10" ht="14.25" customHeight="1" thickTop="1" thickBot="1" x14ac:dyDescent="0.25">
      <c r="A38" s="156"/>
      <c r="B38" s="157"/>
      <c r="C38" s="158"/>
      <c r="D38" s="159"/>
      <c r="E38" s="128"/>
      <c r="F38" s="203" t="s">
        <v>261</v>
      </c>
      <c r="G38" s="204"/>
      <c r="H38" s="205"/>
      <c r="I38" s="205"/>
      <c r="J38" s="206"/>
    </row>
    <row r="39" spans="1:10" ht="24.75" thickTop="1" x14ac:dyDescent="0.2">
      <c r="A39" s="480" t="s">
        <v>163</v>
      </c>
      <c r="B39" s="481"/>
      <c r="C39" s="246" t="s">
        <v>164</v>
      </c>
      <c r="D39" s="246" t="s">
        <v>134</v>
      </c>
      <c r="E39" s="128"/>
      <c r="F39" s="128"/>
      <c r="G39" s="128"/>
    </row>
    <row r="40" spans="1:10" ht="18" customHeight="1" x14ac:dyDescent="0.2">
      <c r="A40" s="235"/>
      <c r="B40" s="236"/>
      <c r="C40" s="246">
        <f>SUM(C16+C26+C33+C37)</f>
        <v>0.71699999999999997</v>
      </c>
      <c r="D40" s="246">
        <f>SUM(C16+D26+C33+D37)</f>
        <v>0.74070000000000003</v>
      </c>
      <c r="E40" s="128"/>
      <c r="F40" s="128"/>
      <c r="G40" s="128"/>
    </row>
    <row r="41" spans="1:10" ht="30" customHeight="1" thickBot="1" x14ac:dyDescent="0.25">
      <c r="A41" s="478"/>
      <c r="B41" s="479"/>
      <c r="C41" s="479"/>
      <c r="D41" s="167"/>
      <c r="E41" s="128"/>
      <c r="F41" s="128"/>
      <c r="G41" s="128"/>
    </row>
    <row r="42" spans="1:10" ht="13.5" thickTop="1" x14ac:dyDescent="0.2">
      <c r="A42" s="128"/>
      <c r="B42" s="128"/>
      <c r="C42" s="128"/>
      <c r="D42" s="128"/>
      <c r="E42" s="128"/>
      <c r="F42" s="128"/>
      <c r="G42" s="128"/>
    </row>
    <row r="43" spans="1:10" x14ac:dyDescent="0.2">
      <c r="A43" s="128" t="s">
        <v>165</v>
      </c>
      <c r="B43" s="128"/>
      <c r="C43" s="128"/>
      <c r="D43" s="128"/>
      <c r="E43" s="128"/>
      <c r="F43" s="128"/>
      <c r="G43" s="128"/>
    </row>
    <row r="44" spans="1:10" x14ac:dyDescent="0.2">
      <c r="A44" s="128" t="s">
        <v>166</v>
      </c>
      <c r="B44" s="128"/>
      <c r="C44" s="128"/>
      <c r="D44" s="128"/>
      <c r="E44" s="128"/>
      <c r="F44" s="128"/>
      <c r="G44" s="128"/>
    </row>
    <row r="45" spans="1:10" x14ac:dyDescent="0.2">
      <c r="A45" s="128" t="s">
        <v>167</v>
      </c>
      <c r="B45" s="128"/>
      <c r="C45" s="128"/>
      <c r="D45" s="128"/>
      <c r="E45" s="128"/>
      <c r="F45" s="128"/>
      <c r="G45" s="128"/>
    </row>
    <row r="46" spans="1:10" x14ac:dyDescent="0.2">
      <c r="F46" s="128"/>
      <c r="G46" s="128"/>
    </row>
  </sheetData>
  <mergeCells count="46">
    <mergeCell ref="A41:C41"/>
    <mergeCell ref="A35:B35"/>
    <mergeCell ref="C35:D35"/>
    <mergeCell ref="A37:B37"/>
    <mergeCell ref="A39:B39"/>
    <mergeCell ref="C29:D29"/>
    <mergeCell ref="C30:D30"/>
    <mergeCell ref="C31:D31"/>
    <mergeCell ref="C32:D32"/>
    <mergeCell ref="A33:B33"/>
    <mergeCell ref="C33:D33"/>
    <mergeCell ref="F1:H2"/>
    <mergeCell ref="A28:B28"/>
    <mergeCell ref="C28:D28"/>
    <mergeCell ref="A18:B18"/>
    <mergeCell ref="A26:B26"/>
    <mergeCell ref="C12:D12"/>
    <mergeCell ref="C13:D13"/>
    <mergeCell ref="C14:D14"/>
    <mergeCell ref="C15:D15"/>
    <mergeCell ref="A16:B16"/>
    <mergeCell ref="C16:D16"/>
    <mergeCell ref="C23:D23"/>
    <mergeCell ref="C24:D24"/>
    <mergeCell ref="C25:D25"/>
    <mergeCell ref="C22:D22"/>
    <mergeCell ref="C11:D11"/>
    <mergeCell ref="A1:C1"/>
    <mergeCell ref="A2:C2"/>
    <mergeCell ref="A4:A5"/>
    <mergeCell ref="B4:B5"/>
    <mergeCell ref="C4:D4"/>
    <mergeCell ref="A7:B7"/>
    <mergeCell ref="C7:D7"/>
    <mergeCell ref="C8:D8"/>
    <mergeCell ref="C9:D9"/>
    <mergeCell ref="C10:D10"/>
    <mergeCell ref="F31:G31"/>
    <mergeCell ref="F23:G23"/>
    <mergeCell ref="F24:G24"/>
    <mergeCell ref="F19:J19"/>
    <mergeCell ref="F20:H21"/>
    <mergeCell ref="I20:I21"/>
    <mergeCell ref="J20:J21"/>
    <mergeCell ref="F22:G22"/>
    <mergeCell ref="F30:H30"/>
  </mergeCells>
  <pageMargins left="0.78740157480314965" right="0.78740157480314965" top="0.98425196850393704" bottom="0.98425196850393704" header="0.51181102362204722" footer="0.51181102362204722"/>
  <pageSetup paperSize="9" scale="67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P50"/>
  <sheetViews>
    <sheetView showGridLines="0" topLeftCell="A16" zoomScaleNormal="100" workbookViewId="0">
      <selection activeCell="F27" sqref="F27"/>
    </sheetView>
  </sheetViews>
  <sheetFormatPr defaultRowHeight="12.75" x14ac:dyDescent="0.2"/>
  <cols>
    <col min="1" max="1" width="9.140625" style="101"/>
    <col min="2" max="2" width="20.85546875" style="101" customWidth="1"/>
    <col min="3" max="3" width="13" style="101" customWidth="1"/>
    <col min="4" max="4" width="11.7109375" style="101" customWidth="1"/>
    <col min="5" max="5" width="12.85546875" style="101" customWidth="1"/>
    <col min="6" max="6" width="16" style="101" customWidth="1"/>
    <col min="7" max="7" width="11.7109375" style="101" customWidth="1"/>
    <col min="8" max="8" width="13" style="101" customWidth="1"/>
    <col min="9" max="9" width="11.7109375" style="101" customWidth="1"/>
    <col min="10" max="10" width="9.140625" style="101"/>
    <col min="11" max="11" width="27.5703125" style="101" customWidth="1"/>
    <col min="12" max="12" width="13.7109375" style="101" customWidth="1"/>
    <col min="13" max="13" width="14.42578125" style="101" customWidth="1"/>
    <col min="14" max="14" width="9.140625" style="101"/>
    <col min="15" max="15" width="12" style="101" customWidth="1"/>
    <col min="16" max="16" width="11.140625" style="101" customWidth="1"/>
    <col min="17" max="16384" width="9.140625" style="101"/>
  </cols>
  <sheetData>
    <row r="1" spans="2:16" ht="13.5" thickBot="1" x14ac:dyDescent="0.25"/>
    <row r="2" spans="2:16" ht="28.5" customHeight="1" thickTop="1" thickBot="1" x14ac:dyDescent="0.25">
      <c r="B2" s="503" t="s">
        <v>255</v>
      </c>
      <c r="C2" s="504"/>
      <c r="D2" s="504"/>
      <c r="E2" s="504"/>
      <c r="F2" s="504"/>
      <c r="G2" s="504"/>
      <c r="H2" s="504"/>
      <c r="I2" s="505"/>
    </row>
    <row r="3" spans="2:16" ht="36" customHeight="1" x14ac:dyDescent="0.2">
      <c r="B3" s="484" t="s">
        <v>168</v>
      </c>
      <c r="C3" s="486" t="s">
        <v>169</v>
      </c>
      <c r="D3" s="486"/>
      <c r="E3" s="486"/>
      <c r="F3" s="486"/>
      <c r="G3" s="486"/>
      <c r="H3" s="487" t="s">
        <v>170</v>
      </c>
      <c r="I3" s="488"/>
      <c r="K3" s="496" t="s">
        <v>171</v>
      </c>
      <c r="L3" s="497"/>
      <c r="M3" s="497"/>
      <c r="N3" s="497"/>
      <c r="O3" s="497"/>
      <c r="P3" s="498"/>
    </row>
    <row r="4" spans="2:16" ht="87" customHeight="1" x14ac:dyDescent="0.2">
      <c r="B4" s="485"/>
      <c r="C4" s="122" t="s">
        <v>172</v>
      </c>
      <c r="D4" s="122" t="s">
        <v>173</v>
      </c>
      <c r="E4" s="122" t="s">
        <v>174</v>
      </c>
      <c r="F4" s="122" t="s">
        <v>175</v>
      </c>
      <c r="G4" s="122" t="s">
        <v>176</v>
      </c>
      <c r="H4" s="125" t="s">
        <v>53</v>
      </c>
      <c r="I4" s="126" t="s">
        <v>54</v>
      </c>
      <c r="K4" s="499" t="s">
        <v>2</v>
      </c>
      <c r="L4" s="500" t="s">
        <v>177</v>
      </c>
      <c r="M4" s="220" t="s">
        <v>178</v>
      </c>
      <c r="N4" s="500" t="s">
        <v>179</v>
      </c>
      <c r="O4" s="500" t="s">
        <v>180</v>
      </c>
      <c r="P4" s="501" t="s">
        <v>181</v>
      </c>
    </row>
    <row r="5" spans="2:16" x14ac:dyDescent="0.2">
      <c r="B5" s="219">
        <v>44713</v>
      </c>
      <c r="C5" s="109">
        <v>17</v>
      </c>
      <c r="D5" s="109">
        <v>4</v>
      </c>
      <c r="E5" s="109">
        <v>4</v>
      </c>
      <c r="F5" s="109">
        <v>5</v>
      </c>
      <c r="G5" s="109">
        <v>0</v>
      </c>
      <c r="H5" s="217">
        <v>151</v>
      </c>
      <c r="I5" s="218">
        <v>185</v>
      </c>
      <c r="K5" s="499"/>
      <c r="L5" s="500"/>
      <c r="M5" s="254">
        <v>0</v>
      </c>
      <c r="N5" s="500"/>
      <c r="O5" s="500"/>
      <c r="P5" s="501"/>
    </row>
    <row r="6" spans="2:16" ht="15.75" customHeight="1" x14ac:dyDescent="0.2">
      <c r="B6" s="219">
        <v>44743</v>
      </c>
      <c r="C6" s="109">
        <v>16</v>
      </c>
      <c r="D6" s="109">
        <v>5</v>
      </c>
      <c r="E6" s="109">
        <v>5</v>
      </c>
      <c r="F6" s="109">
        <v>5</v>
      </c>
      <c r="G6" s="109">
        <v>0</v>
      </c>
      <c r="H6" s="217">
        <v>152</v>
      </c>
      <c r="I6" s="218">
        <v>184</v>
      </c>
      <c r="K6" s="209" t="s">
        <v>96</v>
      </c>
      <c r="L6" s="238">
        <v>38.72</v>
      </c>
      <c r="M6" s="210">
        <f>L6-$M$5</f>
        <v>38.72</v>
      </c>
      <c r="N6" s="307">
        <f>$C$18</f>
        <v>245</v>
      </c>
      <c r="O6" s="211">
        <f>M6*N6</f>
        <v>9486.4</v>
      </c>
      <c r="P6" s="211">
        <f>O6/'Planilha de formação de preços'!$P$6</f>
        <v>790.53</v>
      </c>
    </row>
    <row r="7" spans="2:16" ht="17.25" customHeight="1" x14ac:dyDescent="0.2">
      <c r="B7" s="219">
        <v>44774</v>
      </c>
      <c r="C7" s="109">
        <v>18</v>
      </c>
      <c r="D7" s="109">
        <v>4</v>
      </c>
      <c r="E7" s="109">
        <v>4</v>
      </c>
      <c r="F7" s="109">
        <v>4</v>
      </c>
      <c r="G7" s="109">
        <v>1</v>
      </c>
      <c r="H7" s="217">
        <v>158</v>
      </c>
      <c r="I7" s="218">
        <v>194</v>
      </c>
      <c r="K7" s="209" t="s">
        <v>98</v>
      </c>
      <c r="L7" s="238">
        <v>38.72</v>
      </c>
      <c r="M7" s="210">
        <f>L7-$M$5</f>
        <v>38.72</v>
      </c>
      <c r="N7" s="307">
        <f t="shared" ref="N7:N9" si="0">$C$18</f>
        <v>245</v>
      </c>
      <c r="O7" s="211">
        <f>M7*N7</f>
        <v>9486.4</v>
      </c>
      <c r="P7" s="211">
        <f>O7/'Planilha de formação de preços'!$P$6</f>
        <v>790.53</v>
      </c>
    </row>
    <row r="8" spans="2:16" ht="16.5" customHeight="1" x14ac:dyDescent="0.2">
      <c r="B8" s="219">
        <v>44805</v>
      </c>
      <c r="C8" s="109">
        <v>16</v>
      </c>
      <c r="D8" s="109">
        <v>5</v>
      </c>
      <c r="E8" s="109">
        <v>4</v>
      </c>
      <c r="F8" s="109">
        <v>5</v>
      </c>
      <c r="G8" s="109">
        <v>0</v>
      </c>
      <c r="H8" s="217">
        <v>152</v>
      </c>
      <c r="I8" s="218">
        <v>184</v>
      </c>
      <c r="K8" s="209" t="s">
        <v>182</v>
      </c>
      <c r="L8" s="238">
        <v>38.72</v>
      </c>
      <c r="M8" s="210">
        <f>L8-$M$5</f>
        <v>38.72</v>
      </c>
      <c r="N8" s="307">
        <f t="shared" si="0"/>
        <v>245</v>
      </c>
      <c r="O8" s="211">
        <f>M8*N8</f>
        <v>9486.4</v>
      </c>
      <c r="P8" s="211">
        <f>O8/'Planilha de formação de preços'!$P$6</f>
        <v>790.53</v>
      </c>
    </row>
    <row r="9" spans="2:16" x14ac:dyDescent="0.2">
      <c r="B9" s="219">
        <v>44835</v>
      </c>
      <c r="C9" s="109">
        <v>16</v>
      </c>
      <c r="D9" s="109">
        <v>3</v>
      </c>
      <c r="E9" s="109">
        <v>5</v>
      </c>
      <c r="F9" s="109">
        <v>6</v>
      </c>
      <c r="G9" s="109">
        <v>1</v>
      </c>
      <c r="H9" s="217">
        <v>136</v>
      </c>
      <c r="I9" s="218">
        <v>168</v>
      </c>
      <c r="K9" s="209" t="s">
        <v>183</v>
      </c>
      <c r="L9" s="238">
        <v>38.72</v>
      </c>
      <c r="M9" s="210">
        <f>L9-$M$5</f>
        <v>38.72</v>
      </c>
      <c r="N9" s="307">
        <f t="shared" si="0"/>
        <v>245</v>
      </c>
      <c r="O9" s="211">
        <f>M9*N9</f>
        <v>9486.4</v>
      </c>
      <c r="P9" s="211">
        <f>O9/'Planilha de formação de preços'!$P$6</f>
        <v>790.53</v>
      </c>
    </row>
    <row r="10" spans="2:16" ht="14.25" customHeight="1" x14ac:dyDescent="0.25">
      <c r="B10" s="219">
        <v>44866</v>
      </c>
      <c r="C10" s="109">
        <v>15</v>
      </c>
      <c r="D10" s="109">
        <v>4</v>
      </c>
      <c r="E10" s="109">
        <v>4</v>
      </c>
      <c r="F10" s="109">
        <v>6</v>
      </c>
      <c r="G10" s="109">
        <v>1</v>
      </c>
      <c r="H10" s="217">
        <v>137</v>
      </c>
      <c r="I10" s="218">
        <v>167</v>
      </c>
      <c r="K10" s="208"/>
      <c r="L10" s="128"/>
      <c r="M10" s="128"/>
      <c r="N10" s="128"/>
      <c r="O10" s="128"/>
      <c r="P10" s="128"/>
    </row>
    <row r="11" spans="2:16" ht="17.25" customHeight="1" x14ac:dyDescent="0.2">
      <c r="B11" s="219">
        <v>44896</v>
      </c>
      <c r="C11" s="109">
        <v>16</v>
      </c>
      <c r="D11" s="109">
        <v>5</v>
      </c>
      <c r="E11" s="109">
        <v>5</v>
      </c>
      <c r="F11" s="109">
        <v>4</v>
      </c>
      <c r="G11" s="109">
        <v>1</v>
      </c>
      <c r="H11" s="217">
        <v>152</v>
      </c>
      <c r="I11" s="218">
        <v>184</v>
      </c>
      <c r="P11" s="128"/>
    </row>
    <row r="12" spans="2:16" ht="18.75" customHeight="1" thickBot="1" x14ac:dyDescent="0.25">
      <c r="B12" s="219">
        <v>44927</v>
      </c>
      <c r="C12" s="109">
        <v>18</v>
      </c>
      <c r="D12" s="109">
        <v>4</v>
      </c>
      <c r="E12" s="109">
        <v>4</v>
      </c>
      <c r="F12" s="109">
        <v>5</v>
      </c>
      <c r="G12" s="109">
        <v>0</v>
      </c>
      <c r="H12" s="217">
        <v>158</v>
      </c>
      <c r="I12" s="218">
        <v>194</v>
      </c>
      <c r="P12" s="128"/>
    </row>
    <row r="13" spans="2:16" ht="16.5" customHeight="1" thickTop="1" thickBot="1" x14ac:dyDescent="0.25">
      <c r="B13" s="219">
        <v>44958</v>
      </c>
      <c r="C13" s="109">
        <v>14</v>
      </c>
      <c r="D13" s="109">
        <v>4</v>
      </c>
      <c r="E13" s="109">
        <v>4</v>
      </c>
      <c r="F13" s="109">
        <v>5</v>
      </c>
      <c r="G13" s="109">
        <v>1</v>
      </c>
      <c r="H13" s="217">
        <v>130</v>
      </c>
      <c r="I13" s="218">
        <v>158</v>
      </c>
      <c r="K13" s="489" t="s">
        <v>184</v>
      </c>
      <c r="L13" s="490"/>
      <c r="M13" s="490"/>
      <c r="N13" s="490"/>
      <c r="O13" s="491"/>
      <c r="P13" s="128"/>
    </row>
    <row r="14" spans="2:16" ht="17.25" customHeight="1" thickTop="1" x14ac:dyDescent="0.2">
      <c r="B14" s="219">
        <v>44986</v>
      </c>
      <c r="C14" s="109">
        <v>18</v>
      </c>
      <c r="D14" s="109">
        <v>5</v>
      </c>
      <c r="E14" s="109">
        <v>4</v>
      </c>
      <c r="F14" s="109">
        <v>4</v>
      </c>
      <c r="G14" s="109">
        <v>0</v>
      </c>
      <c r="H14" s="217">
        <v>166</v>
      </c>
      <c r="I14" s="218">
        <v>202</v>
      </c>
      <c r="K14" s="492" t="s">
        <v>185</v>
      </c>
      <c r="L14" s="493"/>
      <c r="M14" s="482" t="s">
        <v>186</v>
      </c>
      <c r="N14" s="482" t="s">
        <v>187</v>
      </c>
      <c r="O14" s="483" t="s">
        <v>188</v>
      </c>
      <c r="P14" s="128"/>
    </row>
    <row r="15" spans="2:16" x14ac:dyDescent="0.2">
      <c r="B15" s="219">
        <v>45017</v>
      </c>
      <c r="C15" s="109">
        <v>14</v>
      </c>
      <c r="D15" s="109">
        <v>2</v>
      </c>
      <c r="E15" s="109">
        <v>5</v>
      </c>
      <c r="F15" s="109">
        <v>7</v>
      </c>
      <c r="G15" s="109">
        <v>2</v>
      </c>
      <c r="H15" s="217">
        <v>114</v>
      </c>
      <c r="I15" s="218">
        <v>142</v>
      </c>
      <c r="K15" s="494"/>
      <c r="L15" s="495"/>
      <c r="M15" s="482"/>
      <c r="N15" s="482"/>
      <c r="O15" s="483"/>
      <c r="P15" s="128"/>
    </row>
    <row r="16" spans="2:16" ht="16.5" customHeight="1" x14ac:dyDescent="0.2">
      <c r="B16" s="219">
        <v>45047</v>
      </c>
      <c r="C16" s="109">
        <v>18</v>
      </c>
      <c r="D16" s="109">
        <v>4</v>
      </c>
      <c r="E16" s="109">
        <v>4</v>
      </c>
      <c r="F16" s="109">
        <v>5</v>
      </c>
      <c r="G16" s="109">
        <v>0</v>
      </c>
      <c r="H16" s="217">
        <v>158</v>
      </c>
      <c r="I16" s="218">
        <v>194</v>
      </c>
      <c r="K16" s="209" t="s">
        <v>189</v>
      </c>
      <c r="L16" s="216" t="s">
        <v>29</v>
      </c>
      <c r="M16" s="221">
        <f>'Planilha de formação de preços'!O8</f>
        <v>14144.75</v>
      </c>
      <c r="N16" s="215">
        <v>180</v>
      </c>
      <c r="O16" s="224">
        <f>M16/N16</f>
        <v>78.58</v>
      </c>
      <c r="P16" s="128"/>
    </row>
    <row r="17" spans="2:15" ht="12.75" customHeight="1" x14ac:dyDescent="0.2">
      <c r="B17" s="169" t="s">
        <v>74</v>
      </c>
      <c r="C17" s="247">
        <f>SUM(C5:C16)</f>
        <v>196</v>
      </c>
      <c r="D17" s="247">
        <f>SUM(D5:D16)</f>
        <v>49</v>
      </c>
      <c r="E17" s="110"/>
      <c r="F17" s="110"/>
      <c r="G17" s="110"/>
      <c r="H17" s="110"/>
      <c r="I17" s="168"/>
      <c r="K17" s="209" t="s">
        <v>98</v>
      </c>
      <c r="L17" s="216" t="s">
        <v>29</v>
      </c>
      <c r="M17" s="221">
        <f>'Planilha de formação de preços'!O9</f>
        <v>17065.259999999998</v>
      </c>
      <c r="N17" s="215">
        <v>180</v>
      </c>
      <c r="O17" s="224">
        <f>M17/N17</f>
        <v>94.81</v>
      </c>
    </row>
    <row r="18" spans="2:15" ht="12.75" customHeight="1" x14ac:dyDescent="0.2">
      <c r="B18" s="248" t="s">
        <v>190</v>
      </c>
      <c r="C18" s="502">
        <f>SUM(C17+D17)</f>
        <v>245</v>
      </c>
      <c r="D18" s="502"/>
      <c r="E18" s="249"/>
      <c r="F18" s="249"/>
      <c r="G18" s="250"/>
      <c r="H18" s="251"/>
      <c r="I18" s="252"/>
      <c r="K18" s="209" t="s">
        <v>191</v>
      </c>
      <c r="L18" s="223" t="s">
        <v>29</v>
      </c>
      <c r="M18" s="221">
        <f>'Planilha de formação de preços'!O10</f>
        <v>14524.09</v>
      </c>
      <c r="N18" s="215">
        <v>180</v>
      </c>
      <c r="O18" s="224">
        <f>M18/N18</f>
        <v>80.69</v>
      </c>
    </row>
    <row r="19" spans="2:15" ht="14.25" customHeight="1" thickBot="1" x14ac:dyDescent="0.25">
      <c r="B19" s="513" t="s">
        <v>192</v>
      </c>
      <c r="C19" s="514"/>
      <c r="D19" s="514"/>
      <c r="E19" s="514"/>
      <c r="F19" s="514"/>
      <c r="G19" s="515"/>
      <c r="H19" s="170">
        <f>SUM(H5:H17)</f>
        <v>1764</v>
      </c>
      <c r="I19" s="171">
        <f>SUM(I5:I17)</f>
        <v>2156</v>
      </c>
      <c r="K19" s="209" t="s">
        <v>183</v>
      </c>
      <c r="L19" s="223" t="s">
        <v>33</v>
      </c>
      <c r="M19" s="221">
        <f>'Planilha de formação de preços'!O11</f>
        <v>23932.95</v>
      </c>
      <c r="N19" s="253">
        <v>220</v>
      </c>
      <c r="O19" s="224">
        <f>M19/N19</f>
        <v>108.79</v>
      </c>
    </row>
    <row r="20" spans="2:15" ht="13.5" thickTop="1" x14ac:dyDescent="0.2">
      <c r="B20" s="512"/>
      <c r="C20" s="512"/>
      <c r="D20" s="512"/>
      <c r="E20" s="512"/>
      <c r="F20" s="512"/>
      <c r="G20" s="512"/>
      <c r="H20" s="512"/>
    </row>
    <row r="21" spans="2:15" ht="12.75" customHeight="1" thickBot="1" x14ac:dyDescent="0.25">
      <c r="B21" s="121"/>
      <c r="C21" s="121"/>
      <c r="D21" s="121"/>
      <c r="E21" s="121"/>
      <c r="F21" s="121"/>
      <c r="G21" s="121"/>
      <c r="H21" s="121"/>
    </row>
    <row r="22" spans="2:15" ht="13.5" thickTop="1" x14ac:dyDescent="0.2">
      <c r="B22" s="508" t="s">
        <v>193</v>
      </c>
      <c r="C22" s="509"/>
      <c r="D22" s="509"/>
      <c r="E22" s="509"/>
      <c r="F22" s="509"/>
      <c r="G22" s="509"/>
      <c r="H22" s="509"/>
      <c r="I22" s="510"/>
    </row>
    <row r="23" spans="2:15" ht="16.5" customHeight="1" x14ac:dyDescent="0.2">
      <c r="B23" s="511" t="s">
        <v>78</v>
      </c>
      <c r="C23" s="506" t="s">
        <v>14</v>
      </c>
      <c r="D23" s="506" t="s">
        <v>79</v>
      </c>
      <c r="E23" s="507" t="s">
        <v>194</v>
      </c>
      <c r="F23" s="506" t="s">
        <v>81</v>
      </c>
      <c r="G23" s="506" t="s">
        <v>82</v>
      </c>
      <c r="H23" s="507" t="s">
        <v>83</v>
      </c>
      <c r="I23" s="518" t="s">
        <v>84</v>
      </c>
    </row>
    <row r="24" spans="2:15" ht="26.25" customHeight="1" x14ac:dyDescent="0.2">
      <c r="B24" s="511"/>
      <c r="C24" s="506"/>
      <c r="D24" s="506"/>
      <c r="E24" s="507"/>
      <c r="F24" s="506"/>
      <c r="G24" s="506"/>
      <c r="H24" s="507"/>
      <c r="I24" s="518"/>
    </row>
    <row r="25" spans="2:15" ht="30" customHeight="1" x14ac:dyDescent="0.2">
      <c r="B25" s="124" t="str">
        <f>'Planilha de formação de preços'!B8</f>
        <v>Operador de Mídias audiovisuais (3731-05)</v>
      </c>
      <c r="C25" s="184">
        <f>'Planilha de formação de preços'!F8</f>
        <v>5827.22</v>
      </c>
      <c r="D25" s="185">
        <f>C25*'Planilha de formação de preços'!$P$6</f>
        <v>69926.64</v>
      </c>
      <c r="E25" s="303">
        <f>$C$18</f>
        <v>245</v>
      </c>
      <c r="F25" s="186">
        <f>D25/E25</f>
        <v>285.41000000000003</v>
      </c>
      <c r="G25" s="186">
        <f>F25*0.06</f>
        <v>17.12</v>
      </c>
      <c r="H25" s="303">
        <f>$C$18</f>
        <v>245</v>
      </c>
      <c r="I25" s="187">
        <f>H25*G25</f>
        <v>4194.3999999999996</v>
      </c>
    </row>
    <row r="26" spans="2:15" ht="25.5" x14ac:dyDescent="0.2">
      <c r="B26" s="124" t="str">
        <f>'Planilha de formação de preços'!B9</f>
        <v>Editor de mídias audiovisuais (3744-05)</v>
      </c>
      <c r="C26" s="184">
        <f>'Planilha de formação de preços'!F9</f>
        <v>7125.45</v>
      </c>
      <c r="D26" s="185">
        <f>C26*'Planilha de formação de preços'!$P$6</f>
        <v>85505.4</v>
      </c>
      <c r="E26" s="303">
        <f t="shared" ref="E26:E28" si="1">$C$18</f>
        <v>245</v>
      </c>
      <c r="F26" s="186">
        <f>D26/E26</f>
        <v>349</v>
      </c>
      <c r="G26" s="186">
        <f>F26*0.06</f>
        <v>20.94</v>
      </c>
      <c r="H26" s="303">
        <f t="shared" ref="H26:H28" si="2">$C$18</f>
        <v>245</v>
      </c>
      <c r="I26" s="187">
        <f>H26*G26</f>
        <v>5130.3</v>
      </c>
    </row>
    <row r="27" spans="2:15" ht="24" customHeight="1" x14ac:dyDescent="0.2">
      <c r="B27" s="124" t="str">
        <f>'Planilha de formação de preços'!B10</f>
        <v>Técnico de sistemas audiovisuais (3731-30)</v>
      </c>
      <c r="C27" s="184">
        <f>'Planilha de formação de preços'!F10</f>
        <v>5995.85</v>
      </c>
      <c r="D27" s="185">
        <f>C27*'Planilha de formação de preços'!$P$6</f>
        <v>71950.2</v>
      </c>
      <c r="E27" s="303">
        <f t="shared" si="1"/>
        <v>245</v>
      </c>
      <c r="F27" s="186">
        <f>D27/E27</f>
        <v>293.67</v>
      </c>
      <c r="G27" s="186">
        <f>F27*0.06</f>
        <v>17.62</v>
      </c>
      <c r="H27" s="303">
        <f t="shared" si="2"/>
        <v>245</v>
      </c>
      <c r="I27" s="187">
        <f>H27*G27</f>
        <v>4316.8999999999996</v>
      </c>
    </row>
    <row r="28" spans="2:15" ht="25.5" customHeight="1" x14ac:dyDescent="0.2">
      <c r="B28" s="114" t="str">
        <f>'Planilha de formação de preços'!B11</f>
        <v>Supervisor Técnico (3732-30)</v>
      </c>
      <c r="C28" s="117">
        <f>'Planilha de formação de preços'!F11</f>
        <v>10178.280000000001</v>
      </c>
      <c r="D28" s="185">
        <f>C28*'Planilha de formação de preços'!$P$6</f>
        <v>122139.36</v>
      </c>
      <c r="E28" s="303">
        <f t="shared" si="1"/>
        <v>245</v>
      </c>
      <c r="F28" s="118">
        <f>D28/E28</f>
        <v>498.53</v>
      </c>
      <c r="G28" s="118">
        <f>F28*0.06</f>
        <v>29.91</v>
      </c>
      <c r="H28" s="303">
        <f t="shared" si="2"/>
        <v>245</v>
      </c>
      <c r="I28" s="119">
        <f>H28*G28</f>
        <v>7327.95</v>
      </c>
    </row>
    <row r="29" spans="2:15" ht="27.75" customHeight="1" thickTop="1" thickBot="1" x14ac:dyDescent="0.25">
      <c r="B29" s="103"/>
      <c r="I29" s="104"/>
    </row>
    <row r="30" spans="2:15" ht="27" customHeight="1" x14ac:dyDescent="0.2">
      <c r="B30" s="516" t="s">
        <v>78</v>
      </c>
      <c r="C30" s="517" t="s">
        <v>85</v>
      </c>
      <c r="D30" s="517" t="s">
        <v>86</v>
      </c>
      <c r="E30" s="507" t="s">
        <v>80</v>
      </c>
      <c r="F30" s="517" t="s">
        <v>87</v>
      </c>
      <c r="G30" s="517" t="s">
        <v>195</v>
      </c>
      <c r="H30" s="517" t="s">
        <v>196</v>
      </c>
      <c r="I30" s="519" t="s">
        <v>90</v>
      </c>
    </row>
    <row r="31" spans="2:15" ht="28.5" customHeight="1" x14ac:dyDescent="0.2">
      <c r="B31" s="511"/>
      <c r="C31" s="506"/>
      <c r="D31" s="506"/>
      <c r="E31" s="507"/>
      <c r="F31" s="506"/>
      <c r="G31" s="506"/>
      <c r="H31" s="506"/>
      <c r="I31" s="518"/>
    </row>
    <row r="32" spans="2:15" ht="26.25" customHeight="1" x14ac:dyDescent="0.2">
      <c r="B32" s="111" t="str">
        <f>B25</f>
        <v>Operador de Mídias audiovisuais (3731-05)</v>
      </c>
      <c r="C32" s="116">
        <v>5.5</v>
      </c>
      <c r="D32" s="112">
        <v>2</v>
      </c>
      <c r="E32" s="303">
        <f>$C$18</f>
        <v>245</v>
      </c>
      <c r="F32" s="113">
        <f>E32*D32*C32</f>
        <v>2695</v>
      </c>
      <c r="G32" s="113">
        <f>I25</f>
        <v>4194.3999999999996</v>
      </c>
      <c r="H32" s="113">
        <f>IF(F32-G32&lt;=0,0,F32-G32)</f>
        <v>0</v>
      </c>
      <c r="I32" s="222">
        <f>H32/'Planilha de formação de preços'!$P$6</f>
        <v>0</v>
      </c>
    </row>
    <row r="33" spans="2:9" ht="30" customHeight="1" x14ac:dyDescent="0.2">
      <c r="B33" s="111" t="str">
        <f>B26</f>
        <v>Editor de mídias audiovisuais (3744-05)</v>
      </c>
      <c r="C33" s="116">
        <v>5.5</v>
      </c>
      <c r="D33" s="112">
        <v>2</v>
      </c>
      <c r="E33" s="303">
        <f t="shared" ref="E33:E35" si="3">$C$18</f>
        <v>245</v>
      </c>
      <c r="F33" s="113">
        <f>E33*D33*C33</f>
        <v>2695</v>
      </c>
      <c r="G33" s="113">
        <f>I26</f>
        <v>5130.3</v>
      </c>
      <c r="H33" s="113">
        <f>IF(F33-G33&lt;=0,0,F33-G33)</f>
        <v>0</v>
      </c>
      <c r="I33" s="222">
        <f>H33/'Planilha de formação de preços'!$P$6</f>
        <v>0</v>
      </c>
    </row>
    <row r="34" spans="2:9" ht="24" customHeight="1" x14ac:dyDescent="0.2">
      <c r="B34" s="111" t="str">
        <f>B27</f>
        <v>Técnico de sistemas audiovisuais (3731-30)</v>
      </c>
      <c r="C34" s="116">
        <v>5.5</v>
      </c>
      <c r="D34" s="112">
        <v>2</v>
      </c>
      <c r="E34" s="303">
        <f t="shared" si="3"/>
        <v>245</v>
      </c>
      <c r="F34" s="113">
        <f>E34*D34*C34</f>
        <v>2695</v>
      </c>
      <c r="G34" s="113">
        <f>I27</f>
        <v>4316.8999999999996</v>
      </c>
      <c r="H34" s="113">
        <f>IF(F34-G34&lt;=0,0,F34-G34)</f>
        <v>0</v>
      </c>
      <c r="I34" s="222">
        <f>H34/'Planilha de formação de preços'!$P$6</f>
        <v>0</v>
      </c>
    </row>
    <row r="35" spans="2:9" ht="24.75" customHeight="1" x14ac:dyDescent="0.2">
      <c r="B35" s="213" t="str">
        <f>B28</f>
        <v>Supervisor Técnico (3732-30)</v>
      </c>
      <c r="C35" s="212">
        <v>5.5</v>
      </c>
      <c r="D35" s="214">
        <v>2</v>
      </c>
      <c r="E35" s="304">
        <f t="shared" si="3"/>
        <v>245</v>
      </c>
      <c r="F35" s="115">
        <f>E35*D35*C35</f>
        <v>2695</v>
      </c>
      <c r="G35" s="115">
        <f>I28</f>
        <v>7327.95</v>
      </c>
      <c r="H35" s="115">
        <f>IF(F35-G35&lt;=0,0,F35-G35)</f>
        <v>0</v>
      </c>
      <c r="I35" s="222">
        <f>H35/'Planilha de formação de preços'!$P$6</f>
        <v>0</v>
      </c>
    </row>
    <row r="36" spans="2:9" ht="21.2" customHeight="1" thickTop="1" x14ac:dyDescent="0.2"/>
    <row r="37" spans="2:9" ht="21.2" customHeight="1" x14ac:dyDescent="0.2"/>
    <row r="38" spans="2:9" ht="21.2" customHeight="1" x14ac:dyDescent="0.2"/>
    <row r="50" ht="42.75" customHeight="1" x14ac:dyDescent="0.2"/>
  </sheetData>
  <mergeCells count="35">
    <mergeCell ref="G30:G31"/>
    <mergeCell ref="G23:G24"/>
    <mergeCell ref="H23:H24"/>
    <mergeCell ref="I23:I24"/>
    <mergeCell ref="H30:H31"/>
    <mergeCell ref="I30:I31"/>
    <mergeCell ref="B30:B31"/>
    <mergeCell ref="C30:C31"/>
    <mergeCell ref="D30:D31"/>
    <mergeCell ref="E30:E31"/>
    <mergeCell ref="F30:F31"/>
    <mergeCell ref="C18:D18"/>
    <mergeCell ref="B2:I2"/>
    <mergeCell ref="C23:C24"/>
    <mergeCell ref="D23:D24"/>
    <mergeCell ref="E23:E24"/>
    <mergeCell ref="F23:F24"/>
    <mergeCell ref="B22:I22"/>
    <mergeCell ref="B23:B24"/>
    <mergeCell ref="B20:H20"/>
    <mergeCell ref="B19:G19"/>
    <mergeCell ref="N14:N15"/>
    <mergeCell ref="O14:O15"/>
    <mergeCell ref="B3:B4"/>
    <mergeCell ref="C3:G3"/>
    <mergeCell ref="H3:I3"/>
    <mergeCell ref="K13:O13"/>
    <mergeCell ref="K14:L15"/>
    <mergeCell ref="M14:M15"/>
    <mergeCell ref="K3:P3"/>
    <mergeCell ref="K4:K5"/>
    <mergeCell ref="L4:L5"/>
    <mergeCell ref="N4:N5"/>
    <mergeCell ref="O4:O5"/>
    <mergeCell ref="P4:P5"/>
  </mergeCells>
  <pageMargins left="0.86614173228346458" right="0.51181102362204722" top="0.31496062992125984" bottom="0.11811023622047245" header="0" footer="0"/>
  <pageSetup paperSize="9" scale="8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J21"/>
  <sheetViews>
    <sheetView showGridLines="0" zoomScaleNormal="60" zoomScaleSheetLayoutView="100" workbookViewId="0">
      <selection activeCell="J18" sqref="J18"/>
    </sheetView>
  </sheetViews>
  <sheetFormatPr defaultRowHeight="15" x14ac:dyDescent="0.2"/>
  <cols>
    <col min="1" max="1" width="9.140625" style="99"/>
    <col min="2" max="2" width="4.5703125" style="99" customWidth="1"/>
    <col min="3" max="3" width="45.42578125" style="99" customWidth="1"/>
    <col min="4" max="4" width="9" style="99" customWidth="1"/>
    <col min="5" max="5" width="15.85546875" style="99" customWidth="1"/>
    <col min="6" max="6" width="14.7109375" style="99" customWidth="1"/>
    <col min="7" max="7" width="15.85546875" style="99" customWidth="1"/>
    <col min="8" max="9" width="14.7109375" style="99" customWidth="1"/>
    <col min="10" max="10" width="15.85546875" style="99" customWidth="1"/>
    <col min="11" max="11" width="16.42578125" style="99" customWidth="1"/>
    <col min="12" max="13" width="15.7109375" style="99" customWidth="1"/>
    <col min="14" max="14" width="14.7109375" style="99" customWidth="1"/>
    <col min="15" max="15" width="16.7109375" style="99" customWidth="1"/>
    <col min="16" max="16" width="14.28515625" style="99" customWidth="1"/>
    <col min="17" max="17" width="14.140625" style="99" customWidth="1"/>
    <col min="18" max="18" width="16.5703125" style="99" customWidth="1"/>
    <col min="19" max="19" width="17.140625" style="99" customWidth="1"/>
    <col min="20" max="20" width="13.5703125" style="99" customWidth="1"/>
    <col min="21" max="21" width="16.140625" style="99" customWidth="1"/>
    <col min="22" max="22" width="17.42578125" style="99" customWidth="1"/>
    <col min="23" max="23" width="20.5703125" style="99" customWidth="1"/>
    <col min="24" max="24" width="15.5703125" style="99" customWidth="1"/>
    <col min="25" max="26" width="15.140625" style="99" customWidth="1"/>
    <col min="27" max="28" width="16.140625" style="99" customWidth="1"/>
    <col min="29" max="29" width="20.7109375" style="99" customWidth="1"/>
    <col min="30" max="16384" width="9.140625" style="99"/>
  </cols>
  <sheetData>
    <row r="1" spans="2:10" ht="29.25" customHeight="1" x14ac:dyDescent="0.2">
      <c r="B1" s="526" t="s">
        <v>258</v>
      </c>
      <c r="C1" s="526"/>
      <c r="D1" s="526"/>
      <c r="E1" s="526"/>
      <c r="F1" s="526"/>
      <c r="G1" s="526"/>
      <c r="H1" s="526"/>
      <c r="I1" s="526"/>
      <c r="J1" s="526"/>
    </row>
    <row r="2" spans="2:10" ht="29.25" customHeight="1" thickBot="1" x14ac:dyDescent="0.25">
      <c r="B2" s="314"/>
      <c r="C2" s="314"/>
      <c r="D2" s="314"/>
      <c r="E2" s="314"/>
      <c r="F2" s="314"/>
      <c r="G2" s="314"/>
      <c r="H2" s="314"/>
      <c r="I2" s="314"/>
      <c r="J2" s="314"/>
    </row>
    <row r="3" spans="2:10" ht="15" customHeight="1" thickTop="1" x14ac:dyDescent="0.2">
      <c r="B3" s="527" t="s">
        <v>111</v>
      </c>
      <c r="C3" s="529" t="s">
        <v>197</v>
      </c>
      <c r="D3" s="529" t="s">
        <v>198</v>
      </c>
      <c r="E3" s="529" t="s">
        <v>199</v>
      </c>
      <c r="F3" s="529" t="s">
        <v>200</v>
      </c>
      <c r="G3" s="529" t="s">
        <v>201</v>
      </c>
      <c r="H3" s="529" t="s">
        <v>202</v>
      </c>
      <c r="I3" s="533" t="s">
        <v>203</v>
      </c>
      <c r="J3" s="531" t="s">
        <v>204</v>
      </c>
    </row>
    <row r="4" spans="2:10" ht="57" customHeight="1" x14ac:dyDescent="0.2">
      <c r="B4" s="528"/>
      <c r="C4" s="530"/>
      <c r="D4" s="530"/>
      <c r="E4" s="530"/>
      <c r="F4" s="530"/>
      <c r="G4" s="530"/>
      <c r="H4" s="530"/>
      <c r="I4" s="534"/>
      <c r="J4" s="532"/>
    </row>
    <row r="5" spans="2:10" ht="25.5" x14ac:dyDescent="0.2">
      <c r="B5" s="124">
        <v>1</v>
      </c>
      <c r="C5" s="178" t="s">
        <v>205</v>
      </c>
      <c r="D5" s="122" t="s">
        <v>198</v>
      </c>
      <c r="E5" s="179">
        <v>799</v>
      </c>
      <c r="F5" s="122">
        <v>2</v>
      </c>
      <c r="G5" s="181">
        <f>E5*F5</f>
        <v>1598</v>
      </c>
      <c r="H5" s="122">
        <v>5</v>
      </c>
      <c r="I5" s="240">
        <v>0.2</v>
      </c>
      <c r="J5" s="182">
        <f>G5/H5</f>
        <v>319.60000000000002</v>
      </c>
    </row>
    <row r="6" spans="2:10" x14ac:dyDescent="0.2">
      <c r="B6" s="124">
        <v>2</v>
      </c>
      <c r="C6" s="178" t="s">
        <v>206</v>
      </c>
      <c r="D6" s="122" t="s">
        <v>198</v>
      </c>
      <c r="E6" s="179">
        <v>89</v>
      </c>
      <c r="F6" s="122">
        <v>2</v>
      </c>
      <c r="G6" s="181">
        <f t="shared" ref="G6:G17" si="0">E6*F6</f>
        <v>178</v>
      </c>
      <c r="H6" s="180">
        <v>5</v>
      </c>
      <c r="I6" s="241">
        <v>0.2</v>
      </c>
      <c r="J6" s="182">
        <f t="shared" ref="J6:J17" si="1">G6/H6</f>
        <v>35.6</v>
      </c>
    </row>
    <row r="7" spans="2:10" x14ac:dyDescent="0.2">
      <c r="B7" s="124">
        <v>3</v>
      </c>
      <c r="C7" s="178" t="s">
        <v>207</v>
      </c>
      <c r="D7" s="122" t="s">
        <v>198</v>
      </c>
      <c r="E7" s="179">
        <v>99.9</v>
      </c>
      <c r="F7" s="122">
        <v>2</v>
      </c>
      <c r="G7" s="181">
        <f t="shared" si="0"/>
        <v>199.8</v>
      </c>
      <c r="H7" s="180">
        <v>5</v>
      </c>
      <c r="I7" s="241">
        <v>0.2</v>
      </c>
      <c r="J7" s="182">
        <f t="shared" si="1"/>
        <v>39.96</v>
      </c>
    </row>
    <row r="8" spans="2:10" x14ac:dyDescent="0.2">
      <c r="B8" s="124">
        <v>4</v>
      </c>
      <c r="C8" s="178" t="s">
        <v>208</v>
      </c>
      <c r="D8" s="122" t="s">
        <v>198</v>
      </c>
      <c r="E8" s="179">
        <v>81</v>
      </c>
      <c r="F8" s="122">
        <v>2</v>
      </c>
      <c r="G8" s="181">
        <f t="shared" si="0"/>
        <v>162</v>
      </c>
      <c r="H8" s="180">
        <v>5</v>
      </c>
      <c r="I8" s="241">
        <v>0.2</v>
      </c>
      <c r="J8" s="182">
        <f t="shared" si="1"/>
        <v>32.4</v>
      </c>
    </row>
    <row r="9" spans="2:10" x14ac:dyDescent="0.2">
      <c r="B9" s="124">
        <v>5</v>
      </c>
      <c r="C9" s="178" t="s">
        <v>209</v>
      </c>
      <c r="D9" s="122" t="s">
        <v>198</v>
      </c>
      <c r="E9" s="179">
        <v>122.5</v>
      </c>
      <c r="F9" s="122">
        <v>2</v>
      </c>
      <c r="G9" s="181">
        <f t="shared" si="0"/>
        <v>245</v>
      </c>
      <c r="H9" s="180">
        <v>5</v>
      </c>
      <c r="I9" s="241">
        <v>0.2</v>
      </c>
      <c r="J9" s="182">
        <f t="shared" si="1"/>
        <v>49</v>
      </c>
    </row>
    <row r="10" spans="2:10" ht="25.5" x14ac:dyDescent="0.2">
      <c r="B10" s="124">
        <v>6</v>
      </c>
      <c r="C10" s="178" t="s">
        <v>210</v>
      </c>
      <c r="D10" s="122" t="s">
        <v>198</v>
      </c>
      <c r="E10" s="179">
        <v>4798.3999999999996</v>
      </c>
      <c r="F10" s="122">
        <v>2</v>
      </c>
      <c r="G10" s="181">
        <f t="shared" si="0"/>
        <v>9596.7999999999993</v>
      </c>
      <c r="H10" s="180">
        <v>5</v>
      </c>
      <c r="I10" s="241">
        <v>0.2</v>
      </c>
      <c r="J10" s="182">
        <f t="shared" si="1"/>
        <v>1919.36</v>
      </c>
    </row>
    <row r="11" spans="2:10" ht="25.5" x14ac:dyDescent="0.2">
      <c r="B11" s="124">
        <v>7</v>
      </c>
      <c r="C11" s="178" t="s">
        <v>211</v>
      </c>
      <c r="D11" s="122" t="s">
        <v>198</v>
      </c>
      <c r="E11" s="179">
        <v>159.80000000000001</v>
      </c>
      <c r="F11" s="122">
        <v>2</v>
      </c>
      <c r="G11" s="181">
        <f t="shared" si="0"/>
        <v>319.60000000000002</v>
      </c>
      <c r="H11" s="122">
        <v>5</v>
      </c>
      <c r="I11" s="240">
        <v>0.2</v>
      </c>
      <c r="J11" s="182">
        <f t="shared" si="1"/>
        <v>63.92</v>
      </c>
    </row>
    <row r="12" spans="2:10" x14ac:dyDescent="0.2">
      <c r="B12" s="124">
        <v>8</v>
      </c>
      <c r="C12" s="178" t="s">
        <v>212</v>
      </c>
      <c r="D12" s="122" t="s">
        <v>198</v>
      </c>
      <c r="E12" s="179">
        <v>99.9</v>
      </c>
      <c r="F12" s="122">
        <v>2</v>
      </c>
      <c r="G12" s="181">
        <f t="shared" si="0"/>
        <v>199.8</v>
      </c>
      <c r="H12" s="122">
        <v>5</v>
      </c>
      <c r="I12" s="240">
        <v>0.2</v>
      </c>
      <c r="J12" s="182">
        <f t="shared" si="1"/>
        <v>39.96</v>
      </c>
    </row>
    <row r="13" spans="2:10" ht="25.5" x14ac:dyDescent="0.2">
      <c r="B13" s="124">
        <v>9</v>
      </c>
      <c r="C13" s="178" t="s">
        <v>213</v>
      </c>
      <c r="D13" s="122" t="s">
        <v>198</v>
      </c>
      <c r="E13" s="179">
        <v>287.3</v>
      </c>
      <c r="F13" s="122">
        <v>2</v>
      </c>
      <c r="G13" s="181">
        <f t="shared" si="0"/>
        <v>574.6</v>
      </c>
      <c r="H13" s="122">
        <v>5</v>
      </c>
      <c r="I13" s="240">
        <v>0.2</v>
      </c>
      <c r="J13" s="182">
        <f t="shared" si="1"/>
        <v>114.92</v>
      </c>
    </row>
    <row r="14" spans="2:10" x14ac:dyDescent="0.2">
      <c r="B14" s="124">
        <v>10</v>
      </c>
      <c r="C14" s="178" t="s">
        <v>214</v>
      </c>
      <c r="D14" s="122" t="s">
        <v>198</v>
      </c>
      <c r="E14" s="179">
        <v>99.9</v>
      </c>
      <c r="F14" s="122">
        <v>2</v>
      </c>
      <c r="G14" s="181">
        <f t="shared" si="0"/>
        <v>199.8</v>
      </c>
      <c r="H14" s="180">
        <v>5</v>
      </c>
      <c r="I14" s="241">
        <v>0.2</v>
      </c>
      <c r="J14" s="182">
        <f t="shared" si="1"/>
        <v>39.96</v>
      </c>
    </row>
    <row r="15" spans="2:10" x14ac:dyDescent="0.2">
      <c r="B15" s="124">
        <v>11</v>
      </c>
      <c r="C15" s="178" t="s">
        <v>215</v>
      </c>
      <c r="D15" s="122" t="s">
        <v>198</v>
      </c>
      <c r="E15" s="179">
        <v>159.5</v>
      </c>
      <c r="F15" s="122">
        <v>2</v>
      </c>
      <c r="G15" s="181">
        <f t="shared" si="0"/>
        <v>319</v>
      </c>
      <c r="H15" s="180">
        <v>5</v>
      </c>
      <c r="I15" s="241">
        <v>0.2</v>
      </c>
      <c r="J15" s="182">
        <f t="shared" si="1"/>
        <v>63.8</v>
      </c>
    </row>
    <row r="16" spans="2:10" x14ac:dyDescent="0.2">
      <c r="B16" s="124">
        <v>12</v>
      </c>
      <c r="C16" s="178" t="s">
        <v>216</v>
      </c>
      <c r="D16" s="122" t="s">
        <v>198</v>
      </c>
      <c r="E16" s="179">
        <v>592.45000000000005</v>
      </c>
      <c r="F16" s="122">
        <v>2</v>
      </c>
      <c r="G16" s="181">
        <f t="shared" si="0"/>
        <v>1184.9000000000001</v>
      </c>
      <c r="H16" s="180">
        <v>5</v>
      </c>
      <c r="I16" s="241">
        <v>0.2</v>
      </c>
      <c r="J16" s="182">
        <f t="shared" si="1"/>
        <v>236.98</v>
      </c>
    </row>
    <row r="17" spans="2:10" x14ac:dyDescent="0.2">
      <c r="B17" s="124">
        <v>13</v>
      </c>
      <c r="C17" s="178" t="s">
        <v>217</v>
      </c>
      <c r="D17" s="122" t="s">
        <v>198</v>
      </c>
      <c r="E17" s="179">
        <v>83.3</v>
      </c>
      <c r="F17" s="122">
        <v>2</v>
      </c>
      <c r="G17" s="181">
        <f t="shared" si="0"/>
        <v>166.6</v>
      </c>
      <c r="H17" s="180">
        <v>5</v>
      </c>
      <c r="I17" s="241">
        <v>0.2</v>
      </c>
      <c r="J17" s="182">
        <f t="shared" si="1"/>
        <v>33.32</v>
      </c>
    </row>
    <row r="18" spans="2:10" x14ac:dyDescent="0.2">
      <c r="B18" s="523" t="s">
        <v>218</v>
      </c>
      <c r="C18" s="524"/>
      <c r="D18" s="524"/>
      <c r="E18" s="524"/>
      <c r="F18" s="524"/>
      <c r="G18" s="524"/>
      <c r="H18" s="525"/>
      <c r="I18" s="239"/>
      <c r="J18" s="183">
        <f>SUM(J5:J17)</f>
        <v>2988.78</v>
      </c>
    </row>
    <row r="19" spans="2:10" ht="15.75" thickBot="1" x14ac:dyDescent="0.25">
      <c r="B19" s="520" t="s">
        <v>219</v>
      </c>
      <c r="C19" s="521"/>
      <c r="D19" s="521"/>
      <c r="E19" s="521"/>
      <c r="F19" s="521"/>
      <c r="G19" s="521"/>
      <c r="H19" s="522"/>
      <c r="I19" s="234"/>
      <c r="J19" s="301">
        <f>(J18)/12</f>
        <v>249.07</v>
      </c>
    </row>
    <row r="20" spans="2:10" ht="15.75" thickTop="1" x14ac:dyDescent="0.2">
      <c r="E20" s="120"/>
    </row>
    <row r="21" spans="2:10" x14ac:dyDescent="0.2">
      <c r="E21" s="120"/>
    </row>
  </sheetData>
  <mergeCells count="12">
    <mergeCell ref="B19:H19"/>
    <mergeCell ref="B18:H18"/>
    <mergeCell ref="B1:J1"/>
    <mergeCell ref="B3:B4"/>
    <mergeCell ref="C3:C4"/>
    <mergeCell ref="D3:D4"/>
    <mergeCell ref="E3:E4"/>
    <mergeCell ref="F3:F4"/>
    <mergeCell ref="G3:G4"/>
    <mergeCell ref="H3:H4"/>
    <mergeCell ref="J3:J4"/>
    <mergeCell ref="I3:I4"/>
  </mergeCells>
  <printOptions horizontalCentered="1" verticalCentered="1"/>
  <pageMargins left="0.18" right="0" top="1.01" bottom="1.49" header="0.56000000000000005" footer="0.19685039370078741"/>
  <pageSetup paperSize="9" scale="94" orientation="landscape" r:id="rId1"/>
  <headerFooter alignWithMargins="0">
    <oddHeader>&amp;C&amp;"English111 Vivace BT,Regular"&amp;28Supremo Tribunal Federal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topLeftCell="A7" zoomScaleNormal="100" workbookViewId="0">
      <selection activeCell="E19" sqref="E19"/>
    </sheetView>
  </sheetViews>
  <sheetFormatPr defaultRowHeight="12.75" x14ac:dyDescent="0.2"/>
  <cols>
    <col min="1" max="1" width="20" style="101" customWidth="1"/>
    <col min="2" max="2" width="14.28515625" style="101" customWidth="1"/>
    <col min="3" max="3" width="32" style="101" customWidth="1"/>
    <col min="4" max="4" width="10" style="101" bestFit="1" customWidth="1"/>
    <col min="5" max="5" width="14.7109375" style="101" customWidth="1"/>
    <col min="6" max="6" width="13" style="101" customWidth="1"/>
    <col min="7" max="16384" width="9.140625" style="101"/>
  </cols>
  <sheetData>
    <row r="1" spans="1:5" ht="20.25" customHeight="1" thickBot="1" x14ac:dyDescent="0.3">
      <c r="A1" s="535" t="s">
        <v>220</v>
      </c>
      <c r="B1" s="535"/>
      <c r="C1" s="535"/>
      <c r="D1" s="535"/>
      <c r="E1" s="535"/>
    </row>
    <row r="2" spans="1:5" ht="39" thickTop="1" x14ac:dyDescent="0.2">
      <c r="A2" s="172" t="s">
        <v>221</v>
      </c>
      <c r="B2" s="123" t="s">
        <v>222</v>
      </c>
      <c r="C2" s="123" t="s">
        <v>223</v>
      </c>
      <c r="D2" s="123" t="s">
        <v>224</v>
      </c>
      <c r="E2" s="173" t="s">
        <v>225</v>
      </c>
    </row>
    <row r="3" spans="1:5" ht="51" x14ac:dyDescent="0.2">
      <c r="A3" s="536" t="s">
        <v>226</v>
      </c>
      <c r="B3" s="122">
        <v>2</v>
      </c>
      <c r="C3" s="174" t="s">
        <v>227</v>
      </c>
      <c r="D3" s="175">
        <v>899.9</v>
      </c>
      <c r="E3" s="176">
        <f>D3*B3</f>
        <v>1799.8</v>
      </c>
    </row>
    <row r="4" spans="1:5" ht="27.75" customHeight="1" x14ac:dyDescent="0.2">
      <c r="A4" s="536"/>
      <c r="B4" s="122">
        <v>4</v>
      </c>
      <c r="C4" s="174" t="s">
        <v>228</v>
      </c>
      <c r="D4" s="175">
        <v>160</v>
      </c>
      <c r="E4" s="176">
        <f t="shared" ref="E4:E8" si="0">D4*B4</f>
        <v>640</v>
      </c>
    </row>
    <row r="5" spans="1:5" ht="31.5" customHeight="1" x14ac:dyDescent="0.2">
      <c r="A5" s="536"/>
      <c r="B5" s="122">
        <v>2</v>
      </c>
      <c r="C5" s="174" t="s">
        <v>229</v>
      </c>
      <c r="D5" s="175">
        <v>49.9</v>
      </c>
      <c r="E5" s="176">
        <f t="shared" si="0"/>
        <v>99.8</v>
      </c>
    </row>
    <row r="6" spans="1:5" ht="32.25" customHeight="1" x14ac:dyDescent="0.2">
      <c r="A6" s="536"/>
      <c r="B6" s="122">
        <v>2</v>
      </c>
      <c r="C6" s="174" t="s">
        <v>230</v>
      </c>
      <c r="D6" s="175">
        <v>54.9</v>
      </c>
      <c r="E6" s="176">
        <f t="shared" si="0"/>
        <v>109.8</v>
      </c>
    </row>
    <row r="7" spans="1:5" ht="38.25" x14ac:dyDescent="0.2">
      <c r="A7" s="536"/>
      <c r="B7" s="122">
        <v>2</v>
      </c>
      <c r="C7" s="174" t="s">
        <v>231</v>
      </c>
      <c r="D7" s="175">
        <v>180</v>
      </c>
      <c r="E7" s="176">
        <f t="shared" si="0"/>
        <v>360</v>
      </c>
    </row>
    <row r="8" spans="1:5" ht="32.25" customHeight="1" x14ac:dyDescent="0.2">
      <c r="A8" s="536"/>
      <c r="B8" s="122">
        <v>4</v>
      </c>
      <c r="C8" s="174" t="s">
        <v>232</v>
      </c>
      <c r="D8" s="175">
        <v>15</v>
      </c>
      <c r="E8" s="176">
        <f t="shared" si="0"/>
        <v>60</v>
      </c>
    </row>
    <row r="9" spans="1:5" ht="16.5" customHeight="1" x14ac:dyDescent="0.2">
      <c r="A9" s="537" t="s">
        <v>233</v>
      </c>
      <c r="B9" s="538"/>
      <c r="C9" s="538"/>
      <c r="D9" s="538"/>
      <c r="E9" s="176">
        <f>SUM(E3:E8)</f>
        <v>3069.4</v>
      </c>
    </row>
    <row r="10" spans="1:5" ht="17.25" customHeight="1" thickBot="1" x14ac:dyDescent="0.25">
      <c r="A10" s="539" t="s">
        <v>234</v>
      </c>
      <c r="B10" s="540"/>
      <c r="C10" s="540"/>
      <c r="D10" s="541"/>
      <c r="E10" s="177">
        <f>E9/12</f>
        <v>255.78</v>
      </c>
    </row>
    <row r="11" spans="1:5" ht="13.5" thickTop="1" x14ac:dyDescent="0.2"/>
    <row r="12" spans="1:5" ht="16.5" thickBot="1" x14ac:dyDescent="0.3">
      <c r="A12" s="535" t="s">
        <v>220</v>
      </c>
      <c r="B12" s="535"/>
      <c r="C12" s="535"/>
      <c r="D12" s="535"/>
      <c r="E12" s="535"/>
    </row>
    <row r="13" spans="1:5" ht="39" thickTop="1" x14ac:dyDescent="0.2">
      <c r="A13" s="172" t="s">
        <v>221</v>
      </c>
      <c r="B13" s="123" t="s">
        <v>222</v>
      </c>
      <c r="C13" s="123" t="s">
        <v>235</v>
      </c>
      <c r="D13" s="123" t="s">
        <v>224</v>
      </c>
      <c r="E13" s="173" t="s">
        <v>225</v>
      </c>
    </row>
    <row r="14" spans="1:5" ht="25.5" x14ac:dyDescent="0.2">
      <c r="A14" s="536" t="s">
        <v>226</v>
      </c>
      <c r="B14" s="122">
        <v>2</v>
      </c>
      <c r="C14" s="174" t="s">
        <v>236</v>
      </c>
      <c r="D14" s="175">
        <v>400</v>
      </c>
      <c r="E14" s="176">
        <f>B14*D14</f>
        <v>800</v>
      </c>
    </row>
    <row r="15" spans="1:5" ht="25.5" x14ac:dyDescent="0.2">
      <c r="A15" s="536"/>
      <c r="B15" s="122">
        <v>2</v>
      </c>
      <c r="C15" s="174" t="s">
        <v>237</v>
      </c>
      <c r="D15" s="175">
        <v>210</v>
      </c>
      <c r="E15" s="176">
        <f t="shared" ref="E15:E19" si="1">B15*D15</f>
        <v>420</v>
      </c>
    </row>
    <row r="16" spans="1:5" ht="25.5" x14ac:dyDescent="0.2">
      <c r="A16" s="536"/>
      <c r="B16" s="122">
        <v>2</v>
      </c>
      <c r="C16" s="174" t="s">
        <v>238</v>
      </c>
      <c r="D16" s="175">
        <v>190</v>
      </c>
      <c r="E16" s="176">
        <f t="shared" si="1"/>
        <v>380</v>
      </c>
    </row>
    <row r="17" spans="1:5" ht="25.5" x14ac:dyDescent="0.2">
      <c r="A17" s="536"/>
      <c r="B17" s="122">
        <v>4</v>
      </c>
      <c r="C17" s="174" t="s">
        <v>239</v>
      </c>
      <c r="D17" s="175">
        <v>160</v>
      </c>
      <c r="E17" s="176">
        <f t="shared" si="1"/>
        <v>640</v>
      </c>
    </row>
    <row r="18" spans="1:5" ht="25.5" x14ac:dyDescent="0.2">
      <c r="A18" s="536"/>
      <c r="B18" s="122">
        <v>4</v>
      </c>
      <c r="C18" s="174" t="s">
        <v>240</v>
      </c>
      <c r="D18" s="175">
        <v>180</v>
      </c>
      <c r="E18" s="176">
        <f t="shared" si="1"/>
        <v>720</v>
      </c>
    </row>
    <row r="19" spans="1:5" ht="25.5" x14ac:dyDescent="0.2">
      <c r="A19" s="536"/>
      <c r="B19" s="122">
        <v>4</v>
      </c>
      <c r="C19" s="174" t="s">
        <v>241</v>
      </c>
      <c r="D19" s="175">
        <v>30</v>
      </c>
      <c r="E19" s="176">
        <f t="shared" si="1"/>
        <v>120</v>
      </c>
    </row>
    <row r="20" spans="1:5" x14ac:dyDescent="0.2">
      <c r="A20" s="537" t="s">
        <v>233</v>
      </c>
      <c r="B20" s="538"/>
      <c r="C20" s="538"/>
      <c r="D20" s="538"/>
      <c r="E20" s="176">
        <f>SUM(E14:E19)</f>
        <v>3080</v>
      </c>
    </row>
    <row r="21" spans="1:5" ht="13.5" thickBot="1" x14ac:dyDescent="0.25">
      <c r="A21" s="539" t="s">
        <v>234</v>
      </c>
      <c r="B21" s="540"/>
      <c r="C21" s="540"/>
      <c r="D21" s="541"/>
      <c r="E21" s="177">
        <f>E20/12</f>
        <v>256.67</v>
      </c>
    </row>
    <row r="22" spans="1:5" ht="13.5" thickTop="1" x14ac:dyDescent="0.2"/>
  </sheetData>
  <mergeCells count="8">
    <mergeCell ref="A1:E1"/>
    <mergeCell ref="A12:E12"/>
    <mergeCell ref="A14:A19"/>
    <mergeCell ref="A20:D20"/>
    <mergeCell ref="A21:D21"/>
    <mergeCell ref="A10:D10"/>
    <mergeCell ref="A3:A8"/>
    <mergeCell ref="A9:D9"/>
  </mergeCells>
  <pageMargins left="0.78740157480314965" right="0.78740157480314965" top="0.59055118110236227" bottom="0.59055118110236227" header="0.31496062992125984" footer="0.51181102362204722"/>
  <pageSetup paperSize="9" scale="98" orientation="landscape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EE465-7AA3-46EF-92DC-B59D99CC4892}">
  <dimension ref="C4:Q16"/>
  <sheetViews>
    <sheetView workbookViewId="0">
      <selection activeCell="N12" sqref="N12"/>
    </sheetView>
  </sheetViews>
  <sheetFormatPr defaultRowHeight="12.75" x14ac:dyDescent="0.2"/>
  <cols>
    <col min="3" max="3" width="18.7109375" bestFit="1" customWidth="1"/>
    <col min="4" max="4" width="13.85546875" customWidth="1"/>
    <col min="5" max="5" width="10.85546875" bestFit="1" customWidth="1"/>
    <col min="6" max="6" width="9.42578125" bestFit="1" customWidth="1"/>
    <col min="7" max="7" width="11.85546875" customWidth="1"/>
    <col min="8" max="8" width="14.5703125" customWidth="1"/>
    <col min="9" max="9" width="13.85546875" customWidth="1"/>
    <col min="10" max="10" width="12.85546875" bestFit="1" customWidth="1"/>
    <col min="11" max="11" width="16.5703125" customWidth="1"/>
    <col min="12" max="12" width="13.85546875" customWidth="1"/>
    <col min="13" max="13" width="12.7109375" customWidth="1"/>
    <col min="14" max="14" width="11.7109375" customWidth="1"/>
    <col min="15" max="15" width="15.7109375" customWidth="1"/>
    <col min="16" max="16" width="14.42578125" customWidth="1"/>
    <col min="17" max="17" width="13" customWidth="1"/>
  </cols>
  <sheetData>
    <row r="4" spans="3:17" ht="13.5" thickBot="1" x14ac:dyDescent="0.25"/>
    <row r="5" spans="3:17" ht="13.5" thickTop="1" x14ac:dyDescent="0.2">
      <c r="C5" s="543" t="s">
        <v>242</v>
      </c>
      <c r="D5" s="544"/>
      <c r="E5" s="544"/>
      <c r="F5" s="544"/>
      <c r="G5" s="544"/>
      <c r="H5" s="544"/>
      <c r="I5" s="544"/>
      <c r="J5" s="544"/>
      <c r="K5" s="544"/>
      <c r="L5" s="544"/>
      <c r="M5" s="544"/>
      <c r="N5" s="544"/>
      <c r="O5" s="544"/>
      <c r="P5" s="544"/>
      <c r="Q5" s="545"/>
    </row>
    <row r="6" spans="3:17" ht="13.5" thickBot="1" x14ac:dyDescent="0.25">
      <c r="C6" s="546"/>
      <c r="D6" s="547"/>
      <c r="E6" s="547"/>
      <c r="F6" s="547"/>
      <c r="G6" s="547"/>
      <c r="H6" s="547"/>
      <c r="I6" s="547"/>
      <c r="J6" s="547"/>
      <c r="K6" s="547"/>
      <c r="L6" s="547"/>
      <c r="M6" s="547"/>
      <c r="N6" s="547"/>
      <c r="O6" s="547"/>
      <c r="P6" s="547"/>
      <c r="Q6" s="548"/>
    </row>
    <row r="7" spans="3:17" ht="13.5" thickTop="1" x14ac:dyDescent="0.2">
      <c r="C7" s="549" t="s">
        <v>185</v>
      </c>
      <c r="D7" s="551" t="s">
        <v>4</v>
      </c>
      <c r="E7" s="551"/>
      <c r="F7" s="551"/>
      <c r="G7" s="551"/>
      <c r="H7" s="551"/>
      <c r="I7" s="551"/>
      <c r="J7" s="551" t="s">
        <v>93</v>
      </c>
      <c r="K7" s="551"/>
      <c r="L7" s="551"/>
      <c r="M7" s="542" t="s">
        <v>243</v>
      </c>
      <c r="N7" s="542" t="s">
        <v>244</v>
      </c>
      <c r="O7" s="542" t="s">
        <v>7</v>
      </c>
      <c r="P7" s="542" t="s">
        <v>245</v>
      </c>
      <c r="Q7" s="552" t="s">
        <v>246</v>
      </c>
    </row>
    <row r="8" spans="3:17" x14ac:dyDescent="0.2">
      <c r="C8" s="550"/>
      <c r="D8" s="542" t="s">
        <v>16</v>
      </c>
      <c r="E8" s="542" t="s">
        <v>247</v>
      </c>
      <c r="F8" s="542" t="s">
        <v>248</v>
      </c>
      <c r="G8" s="542" t="s">
        <v>249</v>
      </c>
      <c r="H8" s="542" t="s">
        <v>250</v>
      </c>
      <c r="I8" s="542" t="s">
        <v>251</v>
      </c>
      <c r="J8" s="542" t="s">
        <v>252</v>
      </c>
      <c r="K8" s="542" t="s">
        <v>253</v>
      </c>
      <c r="L8" s="542" t="s">
        <v>254</v>
      </c>
      <c r="M8" s="542"/>
      <c r="N8" s="542"/>
      <c r="O8" s="542"/>
      <c r="P8" s="542"/>
      <c r="Q8" s="553"/>
    </row>
    <row r="9" spans="3:17" ht="5.25" customHeight="1" x14ac:dyDescent="0.2">
      <c r="C9" s="550"/>
      <c r="D9" s="542"/>
      <c r="E9" s="542"/>
      <c r="F9" s="542"/>
      <c r="G9" s="542"/>
      <c r="H9" s="542"/>
      <c r="I9" s="542"/>
      <c r="J9" s="542"/>
      <c r="K9" s="542"/>
      <c r="L9" s="542"/>
      <c r="M9" s="542"/>
      <c r="N9" s="542"/>
      <c r="O9" s="542"/>
      <c r="P9" s="542"/>
      <c r="Q9" s="553"/>
    </row>
    <row r="10" spans="3:17" ht="68.25" customHeight="1" x14ac:dyDescent="0.2">
      <c r="C10" s="550"/>
      <c r="D10" s="542"/>
      <c r="E10" s="542"/>
      <c r="F10" s="542"/>
      <c r="G10" s="542"/>
      <c r="H10" s="542"/>
      <c r="I10" s="542"/>
      <c r="J10" s="542"/>
      <c r="K10" s="542"/>
      <c r="L10" s="542"/>
      <c r="M10" s="542"/>
      <c r="N10" s="542"/>
      <c r="O10" s="542"/>
      <c r="P10" s="542"/>
      <c r="Q10" s="553"/>
    </row>
    <row r="11" spans="3:17" x14ac:dyDescent="0.2">
      <c r="C11" s="550"/>
      <c r="D11" s="542"/>
      <c r="E11" s="226">
        <v>8.3299999999999999E-2</v>
      </c>
      <c r="F11" s="226">
        <v>8.3299999999999999E-2</v>
      </c>
      <c r="G11" s="226">
        <v>2.7799999999999998E-2</v>
      </c>
      <c r="H11" s="226">
        <v>0.39800000000000002</v>
      </c>
      <c r="I11" s="542"/>
      <c r="J11" s="226" t="s">
        <v>186</v>
      </c>
      <c r="K11" s="226" t="s">
        <v>186</v>
      </c>
      <c r="L11" s="542"/>
      <c r="M11" s="542"/>
      <c r="N11" s="227">
        <v>0.31019999999999998</v>
      </c>
      <c r="O11" s="542"/>
      <c r="P11" s="542"/>
      <c r="Q11" s="553"/>
    </row>
    <row r="12" spans="3:17" ht="69" customHeight="1" x14ac:dyDescent="0.2">
      <c r="C12" s="225" t="s">
        <v>96</v>
      </c>
      <c r="D12" s="231">
        <f>'Planilha de formação de preços'!G8</f>
        <v>5827.22</v>
      </c>
      <c r="E12" s="228">
        <f>D12*$E$11</f>
        <v>485.41</v>
      </c>
      <c r="F12" s="228">
        <f>D12*$F$11</f>
        <v>485.41</v>
      </c>
      <c r="G12" s="229">
        <f>D12*$G$11</f>
        <v>162</v>
      </c>
      <c r="H12" s="229">
        <f>($H$11*E12) + ($H$11*F12)</f>
        <v>386.39</v>
      </c>
      <c r="I12" s="229">
        <f>D12+E12+G12+H12+F12</f>
        <v>7346.43</v>
      </c>
      <c r="J12" s="229">
        <f>'Planilha de formação de preços'!J8</f>
        <v>790.53</v>
      </c>
      <c r="K12" s="229">
        <f>'Planilha de formação de preços'!K8</f>
        <v>0</v>
      </c>
      <c r="L12" s="229">
        <f>J12+K12</f>
        <v>790.53</v>
      </c>
      <c r="M12" s="229">
        <f>I12+L12</f>
        <v>8136.96</v>
      </c>
      <c r="N12" s="229">
        <f>M12*$N$11</f>
        <v>2524.08</v>
      </c>
      <c r="O12" s="229">
        <f>M12+N12</f>
        <v>10661.04</v>
      </c>
      <c r="P12" s="229">
        <f>O12/30</f>
        <v>355.37</v>
      </c>
      <c r="Q12" s="230">
        <f>O12/180</f>
        <v>59.23</v>
      </c>
    </row>
    <row r="13" spans="3:17" ht="48.75" customHeight="1" x14ac:dyDescent="0.2">
      <c r="C13" s="225" t="s">
        <v>98</v>
      </c>
      <c r="D13" s="231">
        <f>'Planilha de formação de preços'!G9</f>
        <v>7125.45</v>
      </c>
      <c r="E13" s="228">
        <f t="shared" ref="E13:E15" si="0">D13*$E$11</f>
        <v>593.54999999999995</v>
      </c>
      <c r="F13" s="228">
        <f t="shared" ref="F13:F15" si="1">D13*$F$11</f>
        <v>593.54999999999995</v>
      </c>
      <c r="G13" s="229">
        <f t="shared" ref="G13:G15" si="2">D13*$G$11</f>
        <v>198.09</v>
      </c>
      <c r="H13" s="229">
        <f t="shared" ref="H13:H15" si="3">($H$11*E13) + ($H$11*F13)</f>
        <v>472.47</v>
      </c>
      <c r="I13" s="229">
        <f t="shared" ref="I13:I15" si="4">D13+E13+G13+H13+F13</f>
        <v>8983.11</v>
      </c>
      <c r="J13" s="229">
        <f>'Planilha de formação de preços'!J9</f>
        <v>790.53</v>
      </c>
      <c r="K13" s="229">
        <f>'Planilha de formação de preços'!K9</f>
        <v>0</v>
      </c>
      <c r="L13" s="229">
        <f t="shared" ref="L13:L15" si="5">J13+K13</f>
        <v>790.53</v>
      </c>
      <c r="M13" s="229">
        <f t="shared" ref="M13:M15" si="6">I13+L13</f>
        <v>9773.64</v>
      </c>
      <c r="N13" s="229">
        <f t="shared" ref="N13:N15" si="7">M13*$N$11</f>
        <v>3031.78</v>
      </c>
      <c r="O13" s="229">
        <f t="shared" ref="O13:O15" si="8">M13+N13</f>
        <v>12805.42</v>
      </c>
      <c r="P13" s="229">
        <f t="shared" ref="P13:P15" si="9">O13/30</f>
        <v>426.85</v>
      </c>
      <c r="Q13" s="230">
        <f t="shared" ref="Q13:Q14" si="10">O13/180</f>
        <v>71.14</v>
      </c>
    </row>
    <row r="14" spans="3:17" ht="51.75" customHeight="1" x14ac:dyDescent="0.2">
      <c r="C14" s="225" t="s">
        <v>182</v>
      </c>
      <c r="D14" s="231">
        <f>'Planilha de formação de preços'!G10</f>
        <v>5995.85</v>
      </c>
      <c r="E14" s="228">
        <f t="shared" si="0"/>
        <v>499.45</v>
      </c>
      <c r="F14" s="228">
        <f t="shared" si="1"/>
        <v>499.45</v>
      </c>
      <c r="G14" s="229">
        <f t="shared" si="2"/>
        <v>166.68</v>
      </c>
      <c r="H14" s="229">
        <f t="shared" si="3"/>
        <v>397.56</v>
      </c>
      <c r="I14" s="229">
        <f t="shared" si="4"/>
        <v>7558.99</v>
      </c>
      <c r="J14" s="229">
        <f>'Planilha de formação de preços'!J10</f>
        <v>790.53</v>
      </c>
      <c r="K14" s="229">
        <f>'Planilha de formação de preços'!K10</f>
        <v>0</v>
      </c>
      <c r="L14" s="229">
        <f t="shared" si="5"/>
        <v>790.53</v>
      </c>
      <c r="M14" s="229">
        <f t="shared" si="6"/>
        <v>8349.52</v>
      </c>
      <c r="N14" s="229">
        <f t="shared" si="7"/>
        <v>2590.02</v>
      </c>
      <c r="O14" s="229">
        <f t="shared" si="8"/>
        <v>10939.54</v>
      </c>
      <c r="P14" s="229">
        <f t="shared" si="9"/>
        <v>364.65</v>
      </c>
      <c r="Q14" s="230">
        <f t="shared" si="10"/>
        <v>60.78</v>
      </c>
    </row>
    <row r="15" spans="3:17" ht="37.5" customHeight="1" x14ac:dyDescent="0.2">
      <c r="C15" s="225" t="s">
        <v>183</v>
      </c>
      <c r="D15" s="231">
        <f>'Planilha de formação de preços'!G11</f>
        <v>10178.280000000001</v>
      </c>
      <c r="E15" s="228">
        <f t="shared" si="0"/>
        <v>847.85</v>
      </c>
      <c r="F15" s="228">
        <f t="shared" si="1"/>
        <v>847.85</v>
      </c>
      <c r="G15" s="229">
        <f t="shared" si="2"/>
        <v>282.95999999999998</v>
      </c>
      <c r="H15" s="229">
        <f t="shared" si="3"/>
        <v>674.89</v>
      </c>
      <c r="I15" s="229">
        <f t="shared" si="4"/>
        <v>12831.83</v>
      </c>
      <c r="J15" s="229">
        <f>'Planilha de formação de preços'!J11</f>
        <v>790.53</v>
      </c>
      <c r="K15" s="229">
        <f>'Planilha de formação de preços'!K11</f>
        <v>0</v>
      </c>
      <c r="L15" s="229">
        <f t="shared" si="5"/>
        <v>790.53</v>
      </c>
      <c r="M15" s="229">
        <f t="shared" si="6"/>
        <v>13622.36</v>
      </c>
      <c r="N15" s="229">
        <f t="shared" si="7"/>
        <v>4225.66</v>
      </c>
      <c r="O15" s="229">
        <f t="shared" si="8"/>
        <v>17848.02</v>
      </c>
      <c r="P15" s="229">
        <f t="shared" si="9"/>
        <v>594.92999999999995</v>
      </c>
      <c r="Q15" s="232">
        <f>O15/220</f>
        <v>81.13</v>
      </c>
    </row>
    <row r="16" spans="3:17" x14ac:dyDescent="0.2">
      <c r="L16" s="233"/>
    </row>
  </sheetData>
  <mergeCells count="18">
    <mergeCell ref="C5:Q6"/>
    <mergeCell ref="C7:C11"/>
    <mergeCell ref="D7:I7"/>
    <mergeCell ref="J7:L7"/>
    <mergeCell ref="M7:M11"/>
    <mergeCell ref="N7:N10"/>
    <mergeCell ref="O7:O11"/>
    <mergeCell ref="Q7:Q11"/>
    <mergeCell ref="D8:D11"/>
    <mergeCell ref="E8:E10"/>
    <mergeCell ref="L8:L11"/>
    <mergeCell ref="P7:P11"/>
    <mergeCell ref="F8:F10"/>
    <mergeCell ref="G8:G10"/>
    <mergeCell ref="H8:H10"/>
    <mergeCell ref="I8:I11"/>
    <mergeCell ref="J8:J10"/>
    <mergeCell ref="K8:K10"/>
  </mergeCells>
  <pageMargins left="0.511811024" right="0.511811024" top="0.78740157499999996" bottom="0.78740157499999996" header="0.31496062000000002" footer="0.31496062000000002"/>
  <pageSetup paperSize="9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D472A97D45EF944BD4575EEF5541DF1" ma:contentTypeVersion="9" ma:contentTypeDescription="Create a new document." ma:contentTypeScope="" ma:versionID="4e1e030d7d0cb74d769e61cf6cb47009">
  <xsd:schema xmlns:xsd="http://www.w3.org/2001/XMLSchema" xmlns:xs="http://www.w3.org/2001/XMLSchema" xmlns:p="http://schemas.microsoft.com/office/2006/metadata/properties" xmlns:ns3="fdba5151-2da8-4003-815d-fd62c8082912" xmlns:ns4="8a885ee1-3ab5-4fd6-84a8-f6587cc7fd0e" targetNamespace="http://schemas.microsoft.com/office/2006/metadata/properties" ma:root="true" ma:fieldsID="b942fcde0ac21d489e24fceba6713a65" ns3:_="" ns4:_="">
    <xsd:import namespace="fdba5151-2da8-4003-815d-fd62c8082912"/>
    <xsd:import namespace="8a885ee1-3ab5-4fd6-84a8-f6587cc7fd0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ba5151-2da8-4003-815d-fd62c808291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85ee1-3ab5-4fd6-84a8-f6587cc7fd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B16FF7-E371-4C72-8A0F-8A87685B4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ba5151-2da8-4003-815d-fd62c8082912"/>
    <ds:schemaRef ds:uri="8a885ee1-3ab5-4fd6-84a8-f6587cc7fd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238982-5B79-484E-BBC9-A0B7F7FF0183}">
  <ds:schemaRefs>
    <ds:schemaRef ds:uri="http://purl.org/dc/terms/"/>
    <ds:schemaRef ds:uri="8a885ee1-3ab5-4fd6-84a8-f6587cc7fd0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fdba5151-2da8-4003-815d-fd62c8082912"/>
  </ds:schemaRefs>
</ds:datastoreItem>
</file>

<file path=customXml/itemProps3.xml><?xml version="1.0" encoding="utf-8"?>
<ds:datastoreItem xmlns:ds="http://schemas.openxmlformats.org/officeDocument/2006/customXml" ds:itemID="{033E6E06-E093-4558-A76D-0F59C3DCE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5</vt:i4>
      </vt:variant>
    </vt:vector>
  </HeadingPairs>
  <TitlesOfParts>
    <vt:vector size="13" baseType="lpstr">
      <vt:lpstr>ANEXO I</vt:lpstr>
      <vt:lpstr>ANEXO II</vt:lpstr>
      <vt:lpstr>Planilha de formação de preços</vt:lpstr>
      <vt:lpstr>ENCARGOS SOCIAIS</vt:lpstr>
      <vt:lpstr>Horas VT, VR</vt:lpstr>
      <vt:lpstr>Ferramentas Individuais</vt:lpstr>
      <vt:lpstr>Uniforme</vt:lpstr>
      <vt:lpstr>Cálculo Cobertura</vt:lpstr>
      <vt:lpstr>'ANEXO I'!Area_de_impressao</vt:lpstr>
      <vt:lpstr>'ENCARGOS SOCIAIS'!Area_de_impressao</vt:lpstr>
      <vt:lpstr>'Ferramentas Individuais'!Area_de_impressao</vt:lpstr>
      <vt:lpstr>'Planilha de formação de preços'!Area_de_impressao</vt:lpstr>
      <vt:lpstr>'Ferramentas Individuais'!Titulos_de_impressao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STF</dc:creator>
  <cp:keywords/>
  <dc:description/>
  <cp:lastModifiedBy>Marcello dos Santos Lopes</cp:lastModifiedBy>
  <cp:revision/>
  <cp:lastPrinted>2022-04-28T20:01:39Z</cp:lastPrinted>
  <dcterms:created xsi:type="dcterms:W3CDTF">2003-02-06T19:43:51Z</dcterms:created>
  <dcterms:modified xsi:type="dcterms:W3CDTF">2022-05-06T16:12:48Z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0x0101007D472A97D45EF944BD4575EEF5541DF1</vt:lpwstr>
  </property>
</Properties>
</file>