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P:\LICITAÇÕES 2022\PROCESSOS ELETRÔNICOS\PRE 52 - 006791-21 - Apoio Adm PORTARIA\02 PLANILHA\"/>
    </mc:Choice>
  </mc:AlternateContent>
  <xr:revisionPtr revIDLastSave="0" documentId="8_{D7A2E5AA-E524-4399-84F4-8278BEA4C3EF}" xr6:coauthVersionLast="47" xr6:coauthVersionMax="47" xr10:uidLastSave="{00000000-0000-0000-0000-000000000000}"/>
  <bookViews>
    <workbookView xWindow="31185" yWindow="615" windowWidth="21600" windowHeight="11385" tabRatio="749" xr2:uid="{00000000-000D-0000-FFFF-FFFF00000000}"/>
  </bookViews>
  <sheets>
    <sheet name="Planilha de custos" sheetId="2" r:id="rId1"/>
    <sheet name="AA AT HORAS" sheetId="3" r:id="rId2"/>
    <sheet name="Encargos Sociais" sheetId="7" r:id="rId3"/>
    <sheet name="Anx II-A Uniforme" sheetId="8" r:id="rId4"/>
    <sheet name="Anx II-C Mat. e Equip." sheetId="11" r:id="rId5"/>
    <sheet name="Anx II-D Equip. Detreciáveis" sheetId="12" r:id="rId6"/>
    <sheet name="Cálculo Cobertura" sheetId="5" r:id="rId7"/>
  </sheets>
  <externalReferences>
    <externalReference r:id="rId8"/>
    <externalReference r:id="rId9"/>
  </externalReferences>
  <definedNames>
    <definedName name="aa" localSheetId="3">#REF!</definedName>
    <definedName name="aa" localSheetId="4">#REF!</definedName>
    <definedName name="aa" localSheetId="5">#REF!</definedName>
    <definedName name="aa">#REF!</definedName>
    <definedName name="adasda" localSheetId="3">#REF!</definedName>
    <definedName name="adasda" localSheetId="4">#REF!</definedName>
    <definedName name="adasda" localSheetId="5">#REF!</definedName>
    <definedName name="adasda">#REF!</definedName>
    <definedName name="_xlnm.Print_Area" localSheetId="1">'AA AT HORAS'!$A$1:$N$50</definedName>
    <definedName name="_xlnm.Print_Area" localSheetId="3">'Anx II-A Uniforme'!$A$1:$J$13</definedName>
    <definedName name="_xlnm.Print_Area" localSheetId="4">'Anx II-C Mat. e Equip.'!$B$2:$G$13</definedName>
    <definedName name="_xlnm.Print_Area" localSheetId="0">'Planilha de custos'!$A$1:$R$33</definedName>
    <definedName name="BDI" localSheetId="3">#REF!</definedName>
    <definedName name="BDI" localSheetId="4">#REF!</definedName>
    <definedName name="BDI" localSheetId="5">#REF!</definedName>
    <definedName name="BDI" localSheetId="6">#REF!</definedName>
    <definedName name="BDI" localSheetId="0">[1]Desoneração!#REF!</definedName>
    <definedName name="BDI">[1]Desoneração!#REF!</definedName>
    <definedName name="ISS" localSheetId="5">#REF!</definedName>
    <definedName name="ISS">#REF!</definedName>
    <definedName name="PageMaker" localSheetId="5">#REF!</definedName>
    <definedName name="PageMaker">#REF!</definedName>
    <definedName name="Print_Area" localSheetId="1">'AA AT HORAS'!$D$1:$M$47</definedName>
    <definedName name="Print_Area" localSheetId="6">'Cálculo Cobertura'!$A$2:$Q$10</definedName>
    <definedName name="Print_Area" localSheetId="0">'Planilha de custos'!$A$1:$R$31</definedName>
    <definedName name="Qtd_Dias" localSheetId="3">#REF!</definedName>
    <definedName name="Qtd_Dias" localSheetId="4">#REF!</definedName>
    <definedName name="Qtd_Dias" localSheetId="5">#REF!</definedName>
    <definedName name="Qtd_Dias" localSheetId="6">'[2]HORAS,VT,VA'!#REF!</definedName>
    <definedName name="Qtd_Dias">'[1]HORAS,VT,VA,CAFÉ'!$B$19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4" i="2" l="1"/>
  <c r="F14" i="2" l="1"/>
  <c r="C10" i="5" s="1"/>
  <c r="B11" i="5" l="1"/>
  <c r="B10" i="5"/>
  <c r="B12" i="5"/>
  <c r="H8" i="12" l="1"/>
  <c r="I8" i="12" s="1"/>
  <c r="H7" i="12"/>
  <c r="I7" i="12" s="1"/>
  <c r="F7" i="11"/>
  <c r="F9" i="11"/>
  <c r="F8" i="11"/>
  <c r="F10" i="11"/>
  <c r="R27" i="2" s="1"/>
  <c r="Q27" i="2" s="1"/>
  <c r="F9" i="5"/>
  <c r="E9" i="5"/>
  <c r="D9" i="5"/>
  <c r="I9" i="12" l="1"/>
  <c r="R29" i="2" s="1"/>
  <c r="Q29" i="2" s="1"/>
  <c r="E20" i="8" l="1"/>
  <c r="F20" i="8" s="1"/>
  <c r="E19" i="8"/>
  <c r="F19" i="8" s="1"/>
  <c r="E18" i="8"/>
  <c r="F18" i="8" s="1"/>
  <c r="E17" i="8"/>
  <c r="F17" i="8" s="1"/>
  <c r="E16" i="8"/>
  <c r="F16" i="8" s="1"/>
  <c r="E15" i="8"/>
  <c r="F15" i="8" s="1"/>
  <c r="E11" i="8"/>
  <c r="F11" i="8" s="1"/>
  <c r="E10" i="8"/>
  <c r="F10" i="8" s="1"/>
  <c r="E9" i="8"/>
  <c r="F9" i="8" s="1"/>
  <c r="E8" i="8"/>
  <c r="F8" i="8" s="1"/>
  <c r="E7" i="8"/>
  <c r="F7" i="8" s="1"/>
  <c r="E6" i="8"/>
  <c r="F6" i="8" s="1"/>
  <c r="E5" i="8"/>
  <c r="F5" i="8" s="1"/>
  <c r="F12" i="8" s="1"/>
  <c r="R25" i="2" s="1"/>
  <c r="Q25" i="2" s="1"/>
  <c r="F21" i="8" l="1"/>
  <c r="P38" i="3"/>
  <c r="S17" i="3"/>
  <c r="S16" i="3"/>
  <c r="L34" i="3"/>
  <c r="L33" i="3"/>
  <c r="I34" i="3"/>
  <c r="I33" i="3"/>
  <c r="I41" i="3"/>
  <c r="I40" i="3"/>
  <c r="R29" i="3" l="1"/>
  <c r="D16" i="2" l="1"/>
  <c r="D15" i="2"/>
  <c r="F15" i="2" l="1"/>
  <c r="C11" i="5" s="1"/>
  <c r="Q38" i="3"/>
  <c r="U38" i="3" s="1"/>
  <c r="E16" i="2" s="1"/>
  <c r="F16" i="2" l="1"/>
  <c r="C12" i="5" s="1"/>
  <c r="R16" i="3"/>
  <c r="R17" i="3"/>
  <c r="D40" i="3"/>
  <c r="G33" i="3"/>
  <c r="H33" i="3" s="1"/>
  <c r="E21" i="8"/>
  <c r="P25" i="2" s="1"/>
  <c r="E12" i="8"/>
  <c r="O25" i="2" s="1"/>
  <c r="N16" i="3" l="1"/>
  <c r="H24" i="3" l="1"/>
  <c r="J26" i="3" l="1"/>
  <c r="G24" i="3" l="1"/>
  <c r="F24" i="3"/>
  <c r="E24" i="3"/>
  <c r="R15" i="3" l="1"/>
  <c r="K35" i="7" l="1"/>
  <c r="J35" i="7"/>
  <c r="D31" i="7"/>
  <c r="E20" i="7"/>
  <c r="K34" i="7" s="1"/>
  <c r="J34" i="7"/>
  <c r="E19" i="7"/>
  <c r="K30" i="7" s="1"/>
  <c r="J30" i="7"/>
  <c r="E18" i="7"/>
  <c r="D13" i="7"/>
  <c r="D15" i="7" s="1"/>
  <c r="K9" i="7"/>
  <c r="K14" i="7" s="1"/>
  <c r="M13" i="2" s="1"/>
  <c r="J9" i="7"/>
  <c r="J14" i="7" s="1"/>
  <c r="G9" i="5" l="1"/>
  <c r="J27" i="7"/>
  <c r="D25" i="7"/>
  <c r="D33" i="7" s="1"/>
  <c r="D34" i="7" s="1"/>
  <c r="D36" i="7" s="1"/>
  <c r="M9" i="5"/>
  <c r="E25" i="7"/>
  <c r="E33" i="7" s="1"/>
  <c r="E34" i="7" s="1"/>
  <c r="E36" i="7" s="1"/>
  <c r="K27" i="7"/>
  <c r="J29" i="7"/>
  <c r="J31" i="7" s="1"/>
  <c r="K29" i="7"/>
  <c r="K31" i="7" s="1"/>
  <c r="G32" i="3"/>
  <c r="G34" i="3"/>
  <c r="G13" i="2" l="1"/>
  <c r="J33" i="7"/>
  <c r="J36" i="7" s="1"/>
  <c r="K33" i="7"/>
  <c r="K36" i="7" s="1"/>
  <c r="G14" i="2" l="1"/>
  <c r="H14" i="2" s="1"/>
  <c r="G15" i="2"/>
  <c r="H15" i="2" s="1"/>
  <c r="G16" i="2"/>
  <c r="H16" i="2" s="1"/>
  <c r="E12" i="5" s="1"/>
  <c r="N17" i="3"/>
  <c r="N15" i="3"/>
  <c r="D41" i="3"/>
  <c r="D39" i="3"/>
  <c r="H34" i="3"/>
  <c r="H32" i="3"/>
  <c r="D12" i="5" l="1"/>
  <c r="G12" i="5" s="1"/>
  <c r="F12" i="5"/>
  <c r="D11" i="5"/>
  <c r="E11" i="5"/>
  <c r="F11" i="5"/>
  <c r="O23" i="2"/>
  <c r="Q23" i="2" s="1"/>
  <c r="R23" i="2" s="1"/>
  <c r="O21" i="2"/>
  <c r="Q21" i="2" s="1"/>
  <c r="R21" i="2" s="1"/>
  <c r="O19" i="2"/>
  <c r="Q19" i="2" s="1"/>
  <c r="E25" i="3"/>
  <c r="R19" i="2" l="1"/>
  <c r="R30" i="2" s="1"/>
  <c r="Q30" i="2"/>
  <c r="H12" i="5"/>
  <c r="G11" i="5"/>
  <c r="H11" i="5" s="1"/>
  <c r="T17" i="3"/>
  <c r="U17" i="3" s="1"/>
  <c r="I12" i="5" s="1"/>
  <c r="T16" i="3"/>
  <c r="U16" i="3" s="1"/>
  <c r="I11" i="5" s="1"/>
  <c r="S15" i="3"/>
  <c r="T15" i="3" s="1"/>
  <c r="U15" i="3" s="1"/>
  <c r="J40" i="3"/>
  <c r="J33" i="3"/>
  <c r="K33" i="3" s="1"/>
  <c r="D10" i="5"/>
  <c r="F10" i="5"/>
  <c r="E10" i="5"/>
  <c r="L32" i="3"/>
  <c r="J34" i="3"/>
  <c r="K34" i="3" s="1"/>
  <c r="I39" i="3"/>
  <c r="J39" i="3" s="1"/>
  <c r="I32" i="3"/>
  <c r="J32" i="3" s="1"/>
  <c r="K32" i="3" s="1"/>
  <c r="J41" i="3"/>
  <c r="I16" i="2" l="1"/>
  <c r="I15" i="2"/>
  <c r="M33" i="3"/>
  <c r="K40" i="3" s="1"/>
  <c r="L40" i="3" s="1"/>
  <c r="M40" i="3" s="1"/>
  <c r="J11" i="5" s="1"/>
  <c r="K11" i="5" s="1"/>
  <c r="L11" i="5" s="1"/>
  <c r="M11" i="5" s="1"/>
  <c r="N11" i="5" s="1"/>
  <c r="M32" i="3"/>
  <c r="K39" i="3" s="1"/>
  <c r="L39" i="3" s="1"/>
  <c r="M39" i="3" s="1"/>
  <c r="J14" i="2" s="1"/>
  <c r="I10" i="5"/>
  <c r="I14" i="2"/>
  <c r="M34" i="3"/>
  <c r="K41" i="3" s="1"/>
  <c r="L41" i="3" s="1"/>
  <c r="M41" i="3" s="1"/>
  <c r="G10" i="5"/>
  <c r="H10" i="5" s="1"/>
  <c r="H17" i="2"/>
  <c r="P11" i="5" l="1"/>
  <c r="O11" i="5"/>
  <c r="J16" i="2"/>
  <c r="K16" i="2" s="1"/>
  <c r="L16" i="2" s="1"/>
  <c r="M16" i="2" s="1"/>
  <c r="N16" i="2" s="1"/>
  <c r="J12" i="5"/>
  <c r="K12" i="5" s="1"/>
  <c r="L12" i="5" s="1"/>
  <c r="M12" i="5" s="1"/>
  <c r="N12" i="5" s="1"/>
  <c r="J15" i="2"/>
  <c r="K15" i="2" s="1"/>
  <c r="L15" i="2" s="1"/>
  <c r="K14" i="2"/>
  <c r="L14" i="2" s="1"/>
  <c r="J10" i="5"/>
  <c r="K10" i="5" s="1"/>
  <c r="L10" i="5" s="1"/>
  <c r="M10" i="5" s="1"/>
  <c r="N10" i="5" s="1"/>
  <c r="P12" i="5" l="1"/>
  <c r="O12" i="5"/>
  <c r="P10" i="5"/>
  <c r="O10" i="5"/>
  <c r="R33" i="3"/>
  <c r="T33" i="3" s="1"/>
  <c r="O16" i="2"/>
  <c r="M15" i="2"/>
  <c r="N15" i="2" s="1"/>
  <c r="Q16" i="2"/>
  <c r="R16" i="2" s="1"/>
  <c r="M14" i="2"/>
  <c r="N14" i="2" s="1"/>
  <c r="O14" i="2" s="1"/>
  <c r="K17" i="2"/>
  <c r="R32" i="3" l="1"/>
  <c r="T32" i="3" s="1"/>
  <c r="O15" i="2"/>
  <c r="Q15" i="2"/>
  <c r="R15" i="2" s="1"/>
  <c r="Q14" i="2"/>
  <c r="R14" i="2" s="1"/>
  <c r="R31" i="3"/>
  <c r="T31" i="3" s="1"/>
  <c r="L17" i="2"/>
  <c r="R17" i="2" l="1"/>
  <c r="R31" i="2" s="1"/>
  <c r="Q17" i="2"/>
  <c r="Q31" i="2" s="1"/>
  <c r="Q34" i="2" l="1"/>
</calcChain>
</file>

<file path=xl/sharedStrings.xml><?xml version="1.0" encoding="utf-8"?>
<sst xmlns="http://schemas.openxmlformats.org/spreadsheetml/2006/main" count="270" uniqueCount="214">
  <si>
    <t xml:space="preserve"> </t>
  </si>
  <si>
    <t>Posto de Trabalho</t>
  </si>
  <si>
    <t>Jornada de Trabalho</t>
  </si>
  <si>
    <t>MONTANTE A</t>
  </si>
  <si>
    <t>MONTANTE B</t>
  </si>
  <si>
    <t>Somatório Montantes 
"A" e "B"</t>
  </si>
  <si>
    <t>CITL
Calculado sobre o Somatório dos Montantes 
"A" e "B"</t>
  </si>
  <si>
    <t>Total unitário mensal do posto de trabalho</t>
  </si>
  <si>
    <t>Quantidade de profissionais por posto de trabalho</t>
  </si>
  <si>
    <t>Total mensal estimado da contratação</t>
  </si>
  <si>
    <t>Total anual estimado da contratação</t>
  </si>
  <si>
    <t>Salário</t>
  </si>
  <si>
    <t>Encargos Sociais</t>
  </si>
  <si>
    <t>Total Unitário Montante "A"</t>
  </si>
  <si>
    <t>Valor do Auxílio-Alimentação</t>
  </si>
  <si>
    <t>Valor do Auxílio-transporte</t>
  </si>
  <si>
    <t>Total Unitário Montante "B"</t>
  </si>
  <si>
    <t>Subtotal 1</t>
  </si>
  <si>
    <t>Qtd.</t>
  </si>
  <si>
    <t>Valor Unit.</t>
  </si>
  <si>
    <t>Valor Mensal</t>
  </si>
  <si>
    <t>Valor Anual</t>
  </si>
  <si>
    <t>GARANTIA</t>
  </si>
  <si>
    <t>MÊS</t>
  </si>
  <si>
    <t>Quantidade de dias da Semana</t>
  </si>
  <si>
    <t>Feriados forenses no período</t>
  </si>
  <si>
    <t>Nº de Segundas a Quintas</t>
  </si>
  <si>
    <t>Nº de Sextas</t>
  </si>
  <si>
    <t>Nº de Sábados</t>
  </si>
  <si>
    <t>Nº de Domingos e Feriados</t>
  </si>
  <si>
    <t>DIAS ÚTEIS</t>
  </si>
  <si>
    <t>TOTAL DE HORAS DE FUNCIONAMENTO NO PERÍODO</t>
  </si>
  <si>
    <t>CÁLCULO DO CUSTO DO AUXÍLIO-TRANSPORTE</t>
  </si>
  <si>
    <t>CÁLCULO DO VALOR DA HORA - 1º ANO</t>
  </si>
  <si>
    <t>Posto de trabalho</t>
  </si>
  <si>
    <t>12 meses          (12 * salário)</t>
  </si>
  <si>
    <t>Dias úteis no ano</t>
  </si>
  <si>
    <t>Dias Trabalhados no ano</t>
  </si>
  <si>
    <t>Participação funcionário (anual)</t>
  </si>
  <si>
    <t>Postos de Trabalho</t>
  </si>
  <si>
    <t>Divisor</t>
  </si>
  <si>
    <t>Valor da Hora</t>
  </si>
  <si>
    <t>x
resultado</t>
  </si>
  <si>
    <t>Valor unitário do vale</t>
  </si>
  <si>
    <t>Quantidade diária</t>
  </si>
  <si>
    <t>Resultado</t>
  </si>
  <si>
    <t>Participação empresa (anual)</t>
  </si>
  <si>
    <t>Participação empresa (mensal)</t>
  </si>
  <si>
    <t>CÁLCULO AUXÍLIO-ALIMENTAÇÃO</t>
  </si>
  <si>
    <t>Valor Unitário</t>
  </si>
  <si>
    <t>% de subsídio
PAT ou CCT</t>
  </si>
  <si>
    <t>Dias Úteis</t>
  </si>
  <si>
    <t>Valor anual do auxílio- alimentação</t>
  </si>
  <si>
    <t>Valor estimado mensal</t>
  </si>
  <si>
    <t>PLANILHA DE COMPOSIÇÃO DOS PERCENTUAIS</t>
  </si>
  <si>
    <t xml:space="preserve"> MÁXIMOS DE ENCARGOS SOCIAIS </t>
  </si>
  <si>
    <t>CUSTOS INDIRETOS, TRIBUTOS E LUCRO - CITL</t>
  </si>
  <si>
    <t>Item</t>
  </si>
  <si>
    <t>Título</t>
  </si>
  <si>
    <r>
      <t xml:space="preserve">RAT / FAP (*)
</t>
    </r>
    <r>
      <rPr>
        <b/>
        <sz val="10"/>
        <color indexed="12"/>
        <rFont val="Arial"/>
        <family val="2"/>
      </rPr>
      <t>PODERÁ SER ALTERADO</t>
    </r>
  </si>
  <si>
    <t>TRIBUTAÇÃO</t>
  </si>
  <si>
    <t>Cumulativa</t>
  </si>
  <si>
    <t>Não Cumulativa</t>
  </si>
  <si>
    <t>Módulo "A"</t>
  </si>
  <si>
    <t>%</t>
  </si>
  <si>
    <t>DESCRIÇÃO</t>
  </si>
  <si>
    <r>
      <rPr>
        <sz val="9"/>
        <color indexed="8"/>
        <rFont val="Arial"/>
        <family val="2"/>
      </rPr>
      <t xml:space="preserve">PREVIDÊNCIA SOCIAL - </t>
    </r>
    <r>
      <rPr>
        <sz val="9"/>
        <color indexed="12"/>
        <rFont val="Arial"/>
        <family val="2"/>
      </rPr>
      <t>PODERÁ SER ALTERADO</t>
    </r>
  </si>
  <si>
    <t>CUSTOS INDIRETOS*</t>
  </si>
  <si>
    <t>A</t>
  </si>
  <si>
    <r>
      <t>SESI / SESC</t>
    </r>
    <r>
      <rPr>
        <sz val="9"/>
        <color indexed="12"/>
        <rFont val="Arial"/>
        <family val="2"/>
      </rPr>
      <t xml:space="preserve"> -  </t>
    </r>
    <r>
      <rPr>
        <sz val="9"/>
        <color rgb="FFFF0000"/>
        <rFont val="Arial"/>
        <family val="2"/>
      </rPr>
      <t>NÃO PODERÁ SER ALTERADO</t>
    </r>
  </si>
  <si>
    <t>LUCRO*</t>
  </si>
  <si>
    <t>B</t>
  </si>
  <si>
    <r>
      <t xml:space="preserve">SENAI / SENAC -  </t>
    </r>
    <r>
      <rPr>
        <sz val="9"/>
        <color rgb="FFFF0000"/>
        <rFont val="Arial"/>
        <family val="2"/>
      </rPr>
      <t>NÃO PODERÁ SER ALTERADO</t>
    </r>
  </si>
  <si>
    <t>TRIBUTOS - SOMATÓRIO:</t>
  </si>
  <si>
    <t>C</t>
  </si>
  <si>
    <r>
      <t xml:space="preserve">INCRA  -  </t>
    </r>
    <r>
      <rPr>
        <sz val="9"/>
        <color rgb="FFFF0000"/>
        <rFont val="Arial"/>
        <family val="2"/>
      </rPr>
      <t>NÃO PODERÁ SER ALTERADO</t>
    </r>
  </si>
  <si>
    <t>ISS</t>
  </si>
  <si>
    <r>
      <t xml:space="preserve">SALÁRIO EDUCAÇÃO  -  </t>
    </r>
    <r>
      <rPr>
        <sz val="9"/>
        <color rgb="FFFF0000"/>
        <rFont val="Arial"/>
        <family val="2"/>
      </rPr>
      <t>NÃO PODERÁ SER ALTERADO</t>
    </r>
  </si>
  <si>
    <t>COFINS</t>
  </si>
  <si>
    <r>
      <t xml:space="preserve">F G T S  -  </t>
    </r>
    <r>
      <rPr>
        <sz val="9"/>
        <color rgb="FFFF0000"/>
        <rFont val="Arial"/>
        <family val="2"/>
      </rPr>
      <t>NÃO PODERÁ SER ALTERADO</t>
    </r>
  </si>
  <si>
    <t>PIS</t>
  </si>
  <si>
    <t>RISCO ACIDENTE DE TRABALHO AJUSTADO (**)</t>
  </si>
  <si>
    <t>CPRB**</t>
  </si>
  <si>
    <r>
      <t xml:space="preserve">SEBRAE - </t>
    </r>
    <r>
      <rPr>
        <sz val="9"/>
        <color rgb="FFFF0000"/>
        <rFont val="Arial"/>
        <family val="2"/>
      </rPr>
      <t>NÃO PODERÁ SER ALTERADO</t>
    </r>
  </si>
  <si>
    <t>TOTAL DO CITL</t>
  </si>
  <si>
    <t>Total do Módulo "A"</t>
  </si>
  <si>
    <t>Fórmula do citl</t>
  </si>
  <si>
    <t>Módulo B</t>
  </si>
  <si>
    <t>1º Ano</t>
  </si>
  <si>
    <t>A partir do 2º ano</t>
  </si>
  <si>
    <r>
      <t xml:space="preserve">13º SALÁRIO - </t>
    </r>
    <r>
      <rPr>
        <sz val="9"/>
        <color rgb="FFFF0000"/>
        <rFont val="Arial"/>
        <family val="2"/>
      </rPr>
      <t>NÃO PODERÁ SER ALTERADO</t>
    </r>
    <r>
      <rPr>
        <sz val="9"/>
        <color indexed="12"/>
        <rFont val="Arial"/>
        <family val="2"/>
      </rPr>
      <t xml:space="preserve"> (***)</t>
    </r>
  </si>
  <si>
    <t xml:space="preserve">Onde:            </t>
  </si>
  <si>
    <r>
      <t xml:space="preserve">FÉRIAS - </t>
    </r>
    <r>
      <rPr>
        <sz val="9"/>
        <color rgb="FFFF0000"/>
        <rFont val="Arial"/>
        <family val="2"/>
      </rPr>
      <t>NÃO PODERÁ SER ALTERADO</t>
    </r>
    <r>
      <rPr>
        <sz val="9"/>
        <color indexed="12"/>
        <rFont val="Arial"/>
        <family val="2"/>
      </rPr>
      <t xml:space="preserve"> (***)</t>
    </r>
  </si>
  <si>
    <t>A = Custos indiretos;</t>
  </si>
  <si>
    <r>
      <t xml:space="preserve">ABONO DE FÉRIAS - </t>
    </r>
    <r>
      <rPr>
        <sz val="9"/>
        <color rgb="FFFF0000"/>
        <rFont val="Arial"/>
        <family val="2"/>
      </rPr>
      <t>NÃO PODERÁ SER ALTERADO</t>
    </r>
    <r>
      <rPr>
        <sz val="9"/>
        <color indexed="12"/>
        <rFont val="Arial"/>
        <family val="2"/>
      </rPr>
      <t xml:space="preserve"> (***)</t>
    </r>
  </si>
  <si>
    <t>B = Lucro; e</t>
  </si>
  <si>
    <t>AUXÍLIO DOENÇA - PODERÁ SER ALTERADO</t>
  </si>
  <si>
    <t>C = Tributos - somatório</t>
  </si>
  <si>
    <r>
      <t xml:space="preserve">LICENÇA PATERNIDADE - </t>
    </r>
    <r>
      <rPr>
        <sz val="9"/>
        <color indexed="12"/>
        <rFont val="Arial"/>
        <family val="2"/>
      </rPr>
      <t>PODERÁ SER ALTERADO</t>
    </r>
    <r>
      <rPr>
        <sz val="9"/>
        <color indexed="8"/>
        <rFont val="Arial"/>
        <family val="2"/>
      </rPr>
      <t/>
    </r>
  </si>
  <si>
    <t>*Incluem custo com salário, encargos e auxílios do preposto</t>
  </si>
  <si>
    <r>
      <t xml:space="preserve">FALTAS LEGAIS - </t>
    </r>
    <r>
      <rPr>
        <sz val="9"/>
        <color indexed="12"/>
        <rFont val="Arial"/>
        <family val="2"/>
      </rPr>
      <t>PODERÁ SER ALTERADO</t>
    </r>
  </si>
  <si>
    <t>**Contribuição Previdenciária sobre a Receita Bruta - lei 12.546/2011</t>
  </si>
  <si>
    <r>
      <t xml:space="preserve">ACIDENTE DO TRABALHO - </t>
    </r>
    <r>
      <rPr>
        <sz val="9"/>
        <color indexed="12"/>
        <rFont val="Arial"/>
        <family val="2"/>
      </rPr>
      <t>PODERÁ SER ALTERADO</t>
    </r>
  </si>
  <si>
    <t>Total do Módulo "B"</t>
  </si>
  <si>
    <t>CONTA-DEPÓSITO VINCULADA - BLOQUEADA PARA MOVIMENTAÇÃO</t>
  </si>
  <si>
    <t>Módulo C</t>
  </si>
  <si>
    <r>
      <rPr>
        <sz val="9"/>
        <color indexed="8"/>
        <rFont val="Arial"/>
        <family val="2"/>
      </rPr>
      <t xml:space="preserve">AVISO PRÉVIO INDENIZADO - </t>
    </r>
    <r>
      <rPr>
        <sz val="9"/>
        <color indexed="12"/>
        <rFont val="Arial"/>
        <family val="2"/>
      </rPr>
      <t>PODERÁ SER ALTERADO</t>
    </r>
  </si>
  <si>
    <r>
      <rPr>
        <sz val="9"/>
        <color indexed="8"/>
        <rFont val="Arial"/>
        <family val="2"/>
      </rPr>
      <t xml:space="preserve">AVISO PRÉVIO - </t>
    </r>
    <r>
      <rPr>
        <sz val="9"/>
        <color indexed="12"/>
        <rFont val="Arial"/>
        <family val="2"/>
      </rPr>
      <t>PODERÁ SER ALTERADO</t>
    </r>
  </si>
  <si>
    <r>
      <rPr>
        <sz val="9"/>
        <color indexed="8"/>
        <rFont val="Arial"/>
        <family val="2"/>
      </rPr>
      <t xml:space="preserve">INDENIZAÇÃO ADICIONAL - </t>
    </r>
    <r>
      <rPr>
        <sz val="9"/>
        <color indexed="12"/>
        <rFont val="Arial"/>
        <family val="2"/>
      </rPr>
      <t>PODERÁ SER ALTERADO</t>
    </r>
  </si>
  <si>
    <t>13º salário</t>
  </si>
  <si>
    <r>
      <rPr>
        <sz val="9"/>
        <color indexed="8"/>
        <rFont val="Arial"/>
        <family val="2"/>
      </rPr>
      <t xml:space="preserve">FGTS RECISÕES SEM JUSTA CAUSA - </t>
    </r>
    <r>
      <rPr>
        <sz val="9"/>
        <color indexed="12"/>
        <rFont val="Arial"/>
        <family val="2"/>
      </rPr>
      <t>PODERÁ SER ALTERADO</t>
    </r>
  </si>
  <si>
    <t>Férias</t>
  </si>
  <si>
    <t>Total do Módulo "C"</t>
  </si>
  <si>
    <t>Subtotal</t>
  </si>
  <si>
    <t>Módulo D</t>
  </si>
  <si>
    <t>INCIDÊNCIA DE A SOBRE B</t>
  </si>
  <si>
    <t>Incidência Módulo "A"</t>
  </si>
  <si>
    <t>Total do Módulo "D"</t>
  </si>
  <si>
    <t>Abono férias</t>
  </si>
  <si>
    <t>TOTAL DOS ENCARGOS SOCIAIS</t>
  </si>
  <si>
    <t>FGTS Recisões sem Justa Causa</t>
  </si>
  <si>
    <t>A CONTINGENCIAR</t>
  </si>
  <si>
    <t>(*) Risco Acidente de Trabalho / Fator Acidentário de Prevenção</t>
  </si>
  <si>
    <t>(**) Variação das alíquotas de 0,5% a 6% de RAT, devido a incidência do FAP</t>
  </si>
  <si>
    <t>UNIFORME MASCULINO 
 (a serem fornecidos conforme especificação do Termo de Referência)</t>
  </si>
  <si>
    <t>Nº de peças a serem</t>
  </si>
  <si>
    <t>Descrição do uniforme</t>
  </si>
  <si>
    <t>Valor unitário máximo admitido</t>
  </si>
  <si>
    <t>Valor máxímo admitido por profissional no período de 12 meses</t>
  </si>
  <si>
    <t>TOTAL MÁXIMO ADMITIDO</t>
  </si>
  <si>
    <t>UNIFORME FEMININO
 (a serem fornecidos conforme especificação do Termo de Referência)</t>
  </si>
  <si>
    <t>EQUIPAMENTO DE PROTEÇÃO INDIVIDUAL</t>
  </si>
  <si>
    <t>Descrição</t>
  </si>
  <si>
    <t>Prazo de vida útil (anos)</t>
  </si>
  <si>
    <t>Taxa anual de depreciação</t>
  </si>
  <si>
    <t>VALOR TOTAL MÁXIMO ADMITIDO A SER RESSARCIDO, CONSIDERANDO A DEPRECIAÇÃO DO EQUIPAMENTO</t>
  </si>
  <si>
    <t>CÁLCULO DO PROFISSIONAL DE COBERTURA</t>
  </si>
  <si>
    <t>MONTANTE "A"</t>
  </si>
  <si>
    <t>MONTANTE "B"</t>
  </si>
  <si>
    <t>CITL
Calculado sobre o somatório dos Montantes 
"A" e "B"</t>
  </si>
  <si>
    <t>Valor da hora do cobertura</t>
  </si>
  <si>
    <t>13º Salário</t>
  </si>
  <si>
    <t>Abono de férias</t>
  </si>
  <si>
    <t>Incidência do Módulo A sobre 13º Salário e Férias</t>
  </si>
  <si>
    <t>Total unitário Montante 
"A"</t>
  </si>
  <si>
    <t xml:space="preserve">Auxílio-Alimentação
</t>
  </si>
  <si>
    <t>Auxílio-transporte - parte da empresa</t>
  </si>
  <si>
    <t>Total unitário Montante 
"B"</t>
  </si>
  <si>
    <t>Adicional Noturno</t>
  </si>
  <si>
    <t>12x36hs - noturno</t>
  </si>
  <si>
    <t>12x36hs - diurno</t>
  </si>
  <si>
    <t>44hs - diurno</t>
  </si>
  <si>
    <t>PLANILHA DE HORAS NO PERÍODO DE 01/10/2022 A 30/09/2023</t>
  </si>
  <si>
    <t>44 horas semanais</t>
  </si>
  <si>
    <t>Quantidade de horas úteis no mês</t>
  </si>
  <si>
    <t>Planilha de Horas - Postos 12x36hs</t>
  </si>
  <si>
    <t>Dias úteis por ano</t>
  </si>
  <si>
    <t>Horas trabalhadas no período</t>
  </si>
  <si>
    <t>Observações:</t>
  </si>
  <si>
    <t>1. No posto de trabalho 12x36hs, em 1 semana o profissional trabalha 3 dias (36 horas) e na outra trabalha 4 dias (48 horas) e assim alternadamente.</t>
  </si>
  <si>
    <r>
      <t xml:space="preserve">2. Um ano possui 52 semanas. Durante 26 semanas (metade de 52 semanas), o profissional locado no posto de trabalho 12x36 trabalhará 36 horas por semana, totalizando </t>
    </r>
    <r>
      <rPr>
        <b/>
        <sz val="10"/>
        <color theme="1"/>
        <rFont val="Arial"/>
        <family val="2"/>
      </rPr>
      <t>936 horas</t>
    </r>
    <r>
      <rPr>
        <sz val="10"/>
        <color theme="1"/>
        <rFont val="Arial"/>
        <family val="2"/>
      </rPr>
      <t xml:space="preserve"> no período.</t>
    </r>
  </si>
  <si>
    <r>
      <t xml:space="preserve">3. Para as outras 26 semanas no ano, o profissional trabalhará 48 horas por semana, totalizando </t>
    </r>
    <r>
      <rPr>
        <b/>
        <sz val="10"/>
        <color theme="1"/>
        <rFont val="Arial"/>
        <family val="2"/>
      </rPr>
      <t>1.248 horas</t>
    </r>
    <r>
      <rPr>
        <sz val="10"/>
        <color theme="1"/>
        <rFont val="Arial"/>
        <family val="2"/>
      </rPr>
      <t xml:space="preserve"> no período, assim, durante 1 ano o ocupante do posto de trabalho 12X36 trabalhará </t>
    </r>
    <r>
      <rPr>
        <b/>
        <sz val="10"/>
        <color theme="1"/>
        <rFont val="Arial"/>
        <family val="2"/>
      </rPr>
      <t>182 dias</t>
    </r>
    <r>
      <rPr>
        <sz val="10"/>
        <color theme="1"/>
        <rFont val="Arial"/>
        <family val="2"/>
      </rPr>
      <t xml:space="preserve">, correspondendo a  </t>
    </r>
    <r>
      <rPr>
        <b/>
        <sz val="10"/>
        <color theme="1"/>
        <rFont val="Arial"/>
        <family val="2"/>
      </rPr>
      <t>2.184 horas</t>
    </r>
    <r>
      <rPr>
        <sz val="10"/>
        <color theme="1"/>
        <rFont val="Arial"/>
        <family val="2"/>
      </rPr>
      <t>.</t>
    </r>
  </si>
  <si>
    <t>4. Para o valor Unitário do Vale Transporte, foi levado em consideração o preço praticado em Brasília, devendo a empresa aplicar o valor correspondente à sua realidade, no entanto, deverá ser observada a metodologia de cálculo constante na planilha de formação de preços, cuja comprovação deverá ser comprovada quando do encaminhamento da proposta vencedora.</t>
  </si>
  <si>
    <t>Resultado
(12 meses/dias úteis)</t>
  </si>
  <si>
    <t>Agente de Portaria - 44hs</t>
  </si>
  <si>
    <t>Agente de Portaria - 12x36hs - diurno</t>
  </si>
  <si>
    <t>Agente de Portaria 12x36hs - noturno</t>
  </si>
  <si>
    <t>Posto</t>
  </si>
  <si>
    <t>Remuneração</t>
  </si>
  <si>
    <t>Qtd. de horas noturnas</t>
  </si>
  <si>
    <t>Dias no mês</t>
  </si>
  <si>
    <t>Valor do Adicional noturno mensal (R$)</t>
  </si>
  <si>
    <t xml:space="preserve">Percentual de Acréscimo 22,5% </t>
  </si>
  <si>
    <t>Terno completo - composto de 1 (um) Paletó e 1 (uma) Calça</t>
  </si>
  <si>
    <t>Camisa social</t>
  </si>
  <si>
    <t>Gravata social</t>
  </si>
  <si>
    <t>Cinto social</t>
  </si>
  <si>
    <t>Meia social</t>
  </si>
  <si>
    <t>Sapato social</t>
  </si>
  <si>
    <t>Japona</t>
  </si>
  <si>
    <t>Terno Completo - composto de 1 (um) blazer e 1 (uma) calça</t>
  </si>
  <si>
    <t>Valor Masculino</t>
  </si>
  <si>
    <t>Valor Feminino</t>
  </si>
  <si>
    <t>Lanterna recarregável</t>
  </si>
  <si>
    <t>Nº de peças a serem fornecidas anualmente*</t>
  </si>
  <si>
    <t>Valot estimado máximo admitido</t>
  </si>
  <si>
    <t>* fornecimento conforme solicitação do Fiscal</t>
  </si>
  <si>
    <t>Livro de ocorrências</t>
  </si>
  <si>
    <t>Fones de Ouvido</t>
  </si>
  <si>
    <t>Total unitário anual do posto de trabalho       (meses)</t>
  </si>
  <si>
    <t>EQUIPAMENTOS DEPRECIÁVEIS NECESSÁRIOS PARA A PRESTAÇÃO DOS SERVIÇOS
 (a serem fornecidos conforme especificação do Termo de Referência)</t>
  </si>
  <si>
    <t>Valor unitário máximo admitido (R$)</t>
  </si>
  <si>
    <t>Valor total máximo admitido (R$)</t>
  </si>
  <si>
    <t>Valor máximo anual a ser ressarcido, considerando a depreciação (R$)</t>
  </si>
  <si>
    <t>Rádio Transceptor Digital Portátil Bidirecional.</t>
  </si>
  <si>
    <t>Repetidora de rádio (incluindo instalação, configuração inicial e software de gerenciamento).</t>
  </si>
  <si>
    <r>
      <t xml:space="preserve">Convenção Coletiva de Trabalho
</t>
    </r>
    <r>
      <rPr>
        <b/>
        <sz val="12"/>
        <color rgb="FFFF0000"/>
        <rFont val="Arial"/>
        <family val="2"/>
      </rPr>
      <t xml:space="preserve">(pode ser alterado)
</t>
    </r>
    <r>
      <rPr>
        <b/>
        <sz val="12"/>
        <rFont val="Arial"/>
        <family val="2"/>
      </rPr>
      <t>vigência
Data-base</t>
    </r>
  </si>
  <si>
    <t>Valor diário do cobertura</t>
  </si>
  <si>
    <t>Agentes de Portaria</t>
  </si>
  <si>
    <t>ADICIONAL NOTURNO</t>
  </si>
  <si>
    <t>(***)Em caso de ausência de cobertura de férias, deverá ser alterado o divisor para 11 meses, à partir do segundo ano do contrato</t>
  </si>
  <si>
    <t>Agentes de Portaria
 CBO 5174-10</t>
  </si>
  <si>
    <t>SEAC/DF e SINDISERVICOS/DF
DF000015/2022, de 19/01/2022
01/01/2022 a 31/12/2022
1º de janeiro</t>
  </si>
  <si>
    <r>
      <t xml:space="preserve">    </t>
    </r>
    <r>
      <rPr>
        <b/>
        <sz val="11"/>
        <rFont val="Arial"/>
        <family val="2"/>
      </rPr>
      <t>I. AUXÍLIO SAÚDE - PLANO AMBULATORIAL</t>
    </r>
    <r>
      <rPr>
        <sz val="11"/>
        <rFont val="Arial"/>
        <family val="2"/>
      </rPr>
      <t xml:space="preserve"> - </t>
    </r>
    <r>
      <rPr>
        <b/>
        <sz val="11"/>
        <rFont val="Arial"/>
        <family val="2"/>
      </rPr>
      <t>Ressarcimento</t>
    </r>
    <r>
      <rPr>
        <sz val="11"/>
        <rFont val="Arial"/>
        <family val="2"/>
      </rPr>
      <t xml:space="preserve"> </t>
    </r>
    <r>
      <rPr>
        <sz val="11"/>
        <color rgb="FFFF0000"/>
        <rFont val="Arial"/>
        <family val="2"/>
      </rPr>
      <t>(Só poderá ser alterado pelo licitante em caso de adoção de outra CCT)</t>
    </r>
  </si>
  <si>
    <r>
      <t xml:space="preserve">    </t>
    </r>
    <r>
      <rPr>
        <b/>
        <sz val="11"/>
        <rFont val="Arial"/>
        <family val="2"/>
      </rPr>
      <t>II. AUXÍLIO-ODONTOLÓGICO - Ressarcimento</t>
    </r>
    <r>
      <rPr>
        <sz val="11"/>
        <rFont val="Arial"/>
        <family val="2"/>
      </rPr>
      <t xml:space="preserve"> </t>
    </r>
    <r>
      <rPr>
        <sz val="11"/>
        <color rgb="FFFF0000"/>
        <rFont val="Arial"/>
        <family val="2"/>
      </rPr>
      <t>(Só poderá ser alterado pelo licitante em caso de adoção de outra CCT)</t>
    </r>
  </si>
  <si>
    <r>
      <t xml:space="preserve">    III. AUXÍLIO-FUNERAL E SEGURO DE VIDA -  Ressarcimento </t>
    </r>
    <r>
      <rPr>
        <sz val="11"/>
        <color rgb="FFFF0000"/>
        <rFont val="Arial"/>
        <family val="2"/>
      </rPr>
      <t>(Só poderá ser alterado pelo licitante em caso de adoção de outra CCT)</t>
    </r>
  </si>
  <si>
    <t xml:space="preserve">    Subtotal 2</t>
  </si>
  <si>
    <t xml:space="preserve">   Total - Somatório do Subtotal 1 e do Subtotal 2</t>
  </si>
  <si>
    <t>Valor máximo admitido por profissional para 12 meses (R$)</t>
  </si>
  <si>
    <t>Valor máximo admitido para 12 meses (R$)</t>
  </si>
  <si>
    <r>
      <t xml:space="preserve">    </t>
    </r>
    <r>
      <rPr>
        <b/>
        <sz val="11"/>
        <rFont val="Arial"/>
        <family val="2"/>
      </rPr>
      <t>V- MATERIAIS E EQUIPAMENTOS - Ressarcimento</t>
    </r>
    <r>
      <rPr>
        <sz val="11"/>
        <rFont val="Arial"/>
        <family val="2"/>
      </rPr>
      <t xml:space="preserve"> </t>
    </r>
    <r>
      <rPr>
        <sz val="11"/>
        <color rgb="FF0070C0"/>
        <rFont val="Arial"/>
        <family val="2"/>
      </rPr>
      <t>(Valor máximo admitido - pode ser alterado pela licitante)</t>
    </r>
  </si>
  <si>
    <r>
      <t xml:space="preserve">    </t>
    </r>
    <r>
      <rPr>
        <b/>
        <sz val="11"/>
        <rFont val="Arial"/>
        <family val="2"/>
      </rPr>
      <t>VI - EQUIPAMENTOS E MATERIAIS / BENS DURÁVEIS  - Ressarcimento</t>
    </r>
    <r>
      <rPr>
        <sz val="11"/>
        <rFont val="Arial"/>
        <family val="2"/>
      </rPr>
      <t xml:space="preserve">  </t>
    </r>
    <r>
      <rPr>
        <sz val="11"/>
        <color rgb="FF0070C0"/>
        <rFont val="Arial"/>
        <family val="2"/>
      </rPr>
      <t>(Valor máximo admitido - pode ser alterado pela licitante)</t>
    </r>
  </si>
  <si>
    <r>
      <t xml:space="preserve">   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IV - UNIFORMES MASCULINOS E FENIMINOS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- Ressarcimento</t>
    </r>
    <r>
      <rPr>
        <sz val="11"/>
        <color rgb="FF0070C0"/>
        <rFont val="Arial"/>
        <family val="2"/>
      </rPr>
      <t xml:space="preserve"> (Valor máximo admitido - pode ser alterado pela licitante, fazendo constar sempre o de maior valor entre o feminino e o masculino)
Obs: O valor estimado previsto para uniforme observou o valor do uniforme masculino (maior valor), contudo, para fins de ressarcimento deverá ser observado o valor individualizado de cada item.</t>
    </r>
  </si>
  <si>
    <t>PLANILHA DE CUSTOS E FORMAÇÃO DE PREÇOS - DE 01/10/2022 A 30/09/2023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</si>
</sst>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&quot;R$&quot;\ #,##0.00"/>
    <numFmt numFmtId="165" formatCode="0.000"/>
    <numFmt numFmtId="166" formatCode="_(* #,##0.00_);_(* \(#,##0.00\);_(* &quot;-&quot;??_);_(@_)"/>
    <numFmt numFmtId="167" formatCode="_-[$R$-416]\ * #,##0.00_-;\-[$R$-416]\ * #,##0.00_-;_-[$R$-416]\ * &quot;-&quot;??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1"/>
      <color theme="0"/>
      <name val="Arial"/>
      <family val="2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9"/>
      <color rgb="FFFF0000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9"/>
      <color indexed="12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rgb="FFFF0000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4"/>
      <name val="Arial"/>
      <family val="2"/>
    </font>
    <font>
      <b/>
      <sz val="10"/>
      <color indexed="12"/>
      <name val="Arial"/>
      <family val="2"/>
    </font>
    <font>
      <b/>
      <sz val="18"/>
      <name val="Arial"/>
      <family val="2"/>
    </font>
    <font>
      <b/>
      <sz val="18"/>
      <color theme="1"/>
      <name val="Arial"/>
      <family val="2"/>
    </font>
    <font>
      <b/>
      <sz val="11"/>
      <color indexed="8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70C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auto="1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4659260841701"/>
        <bgColor indexed="64"/>
      </patternFill>
    </fill>
  </fills>
  <borders count="8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3">
    <xf numFmtId="0" fontId="0" fillId="0" borderId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7" fillId="0" borderId="0" applyNumberFormat="0" applyFill="0" applyBorder="0" applyProtection="0"/>
    <xf numFmtId="0" fontId="8" fillId="0" borderId="0"/>
    <xf numFmtId="0" fontId="8" fillId="0" borderId="0"/>
    <xf numFmtId="166" fontId="8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9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/>
    <xf numFmtId="164" fontId="8" fillId="2" borderId="6" xfId="0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2" borderId="0" xfId="0" applyFont="1" applyFill="1"/>
    <xf numFmtId="164" fontId="8" fillId="0" borderId="6" xfId="0" applyNumberFormat="1" applyFont="1" applyBorder="1" applyAlignment="1">
      <alignment vertical="center"/>
    </xf>
    <xf numFmtId="44" fontId="5" fillId="2" borderId="7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44" fontId="3" fillId="2" borderId="3" xfId="0" applyNumberFormat="1" applyFont="1" applyFill="1" applyBorder="1" applyAlignment="1">
      <alignment horizontal="center" vertical="center"/>
    </xf>
    <xf numFmtId="44" fontId="3" fillId="2" borderId="4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44" fontId="3" fillId="0" borderId="3" xfId="0" applyNumberFormat="1" applyFont="1" applyBorder="1" applyAlignment="1">
      <alignment horizontal="center" vertical="center"/>
    </xf>
    <xf numFmtId="44" fontId="3" fillId="0" borderId="4" xfId="0" applyNumberFormat="1" applyFont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9" fillId="0" borderId="11" xfId="0" applyFont="1" applyBorder="1" applyAlignment="1">
      <alignment horizontal="center" vertical="center"/>
    </xf>
    <xf numFmtId="44" fontId="9" fillId="2" borderId="0" xfId="0" applyNumberFormat="1" applyFont="1" applyFill="1"/>
    <xf numFmtId="4" fontId="11" fillId="2" borderId="0" xfId="0" applyNumberFormat="1" applyFont="1" applyFill="1"/>
    <xf numFmtId="0" fontId="3" fillId="2" borderId="0" xfId="0" applyFont="1" applyFill="1" applyAlignment="1">
      <alignment horizontal="justify" vertical="center"/>
    </xf>
    <xf numFmtId="0" fontId="2" fillId="2" borderId="0" xfId="0" applyFont="1" applyFill="1" applyAlignment="1">
      <alignment horizontal="justify" vertical="center"/>
    </xf>
    <xf numFmtId="0" fontId="12" fillId="2" borderId="0" xfId="0" applyFont="1" applyFill="1" applyAlignment="1">
      <alignment horizontal="left" vertical="center" indent="5"/>
    </xf>
    <xf numFmtId="0" fontId="3" fillId="2" borderId="0" xfId="0" applyFont="1" applyFill="1" applyAlignment="1">
      <alignment horizontal="center"/>
    </xf>
    <xf numFmtId="0" fontId="5" fillId="2" borderId="0" xfId="0" applyFont="1" applyFill="1" applyAlignment="1">
      <alignment wrapText="1"/>
    </xf>
    <xf numFmtId="0" fontId="13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top"/>
    </xf>
    <xf numFmtId="9" fontId="14" fillId="2" borderId="28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15" fillId="0" borderId="0" xfId="6" applyFont="1"/>
    <xf numFmtId="0" fontId="15" fillId="0" borderId="33" xfId="6" applyFont="1" applyBorder="1"/>
    <xf numFmtId="0" fontId="7" fillId="0" borderId="0" xfId="6" applyFont="1" applyAlignment="1">
      <alignment vertical="center" wrapText="1"/>
    </xf>
    <xf numFmtId="0" fontId="15" fillId="0" borderId="32" xfId="6" applyFont="1" applyBorder="1"/>
    <xf numFmtId="0" fontId="15" fillId="2" borderId="33" xfId="2" applyFont="1" applyFill="1" applyBorder="1" applyAlignment="1">
      <alignment horizontal="center" vertical="center" wrapText="1"/>
    </xf>
    <xf numFmtId="164" fontId="15" fillId="0" borderId="0" xfId="6" applyNumberFormat="1" applyFont="1"/>
    <xf numFmtId="164" fontId="9" fillId="0" borderId="11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164" fontId="8" fillId="0" borderId="6" xfId="0" applyNumberFormat="1" applyFont="1" applyBorder="1" applyAlignment="1">
      <alignment horizontal="center" vertical="center"/>
    </xf>
    <xf numFmtId="0" fontId="17" fillId="5" borderId="34" xfId="8" applyFill="1" applyBorder="1"/>
    <xf numFmtId="0" fontId="17" fillId="5" borderId="35" xfId="8" applyFill="1" applyBorder="1"/>
    <xf numFmtId="0" fontId="17" fillId="5" borderId="36" xfId="8" applyFill="1" applyBorder="1"/>
    <xf numFmtId="0" fontId="17" fillId="0" borderId="0" xfId="8" applyNumberFormat="1"/>
    <xf numFmtId="0" fontId="17" fillId="5" borderId="37" xfId="8" applyFill="1" applyBorder="1"/>
    <xf numFmtId="0" fontId="19" fillId="5" borderId="0" xfId="8" applyFont="1" applyFill="1" applyBorder="1"/>
    <xf numFmtId="0" fontId="20" fillId="5" borderId="0" xfId="8" applyFont="1" applyFill="1" applyBorder="1"/>
    <xf numFmtId="0" fontId="17" fillId="5" borderId="0" xfId="8" applyFill="1" applyBorder="1"/>
    <xf numFmtId="0" fontId="17" fillId="5" borderId="38" xfId="8" applyFill="1" applyBorder="1"/>
    <xf numFmtId="0" fontId="17" fillId="5" borderId="40" xfId="8" applyFill="1" applyBorder="1"/>
    <xf numFmtId="0" fontId="19" fillId="5" borderId="42" xfId="8" applyFont="1" applyFill="1" applyBorder="1"/>
    <xf numFmtId="0" fontId="17" fillId="5" borderId="47" xfId="8" applyFill="1" applyBorder="1"/>
    <xf numFmtId="49" fontId="21" fillId="5" borderId="41" xfId="8" applyNumberFormat="1" applyFont="1" applyFill="1" applyBorder="1" applyAlignment="1">
      <alignment horizontal="center"/>
    </xf>
    <xf numFmtId="0" fontId="19" fillId="5" borderId="41" xfId="8" applyNumberFormat="1" applyFont="1" applyFill="1" applyBorder="1" applyAlignment="1">
      <alignment horizontal="center"/>
    </xf>
    <xf numFmtId="49" fontId="19" fillId="5" borderId="41" xfId="8" applyNumberFormat="1" applyFont="1" applyFill="1" applyBorder="1" applyAlignment="1">
      <alignment horizontal="justify"/>
    </xf>
    <xf numFmtId="10" fontId="21" fillId="5" borderId="41" xfId="8" applyNumberFormat="1" applyFont="1" applyFill="1" applyBorder="1" applyAlignment="1">
      <alignment horizontal="center"/>
    </xf>
    <xf numFmtId="49" fontId="21" fillId="5" borderId="43" xfId="8" applyNumberFormat="1" applyFont="1" applyFill="1" applyBorder="1"/>
    <xf numFmtId="0" fontId="21" fillId="5" borderId="45" xfId="8" applyFont="1" applyFill="1" applyBorder="1"/>
    <xf numFmtId="0" fontId="17" fillId="5" borderId="56" xfId="8" applyFill="1" applyBorder="1"/>
    <xf numFmtId="10" fontId="23" fillId="5" borderId="41" xfId="8" applyNumberFormat="1" applyFont="1" applyFill="1" applyBorder="1" applyAlignment="1">
      <alignment horizontal="center"/>
    </xf>
    <xf numFmtId="0" fontId="17" fillId="5" borderId="49" xfId="8" applyFill="1" applyBorder="1"/>
    <xf numFmtId="0" fontId="17" fillId="5" borderId="50" xfId="8" applyFill="1" applyBorder="1"/>
    <xf numFmtId="2" fontId="19" fillId="5" borderId="42" xfId="8" applyNumberFormat="1" applyFont="1" applyFill="1" applyBorder="1"/>
    <xf numFmtId="0" fontId="21" fillId="5" borderId="44" xfId="8" applyFont="1" applyFill="1" applyBorder="1" applyAlignment="1">
      <alignment horizontal="center"/>
    </xf>
    <xf numFmtId="10" fontId="21" fillId="5" borderId="45" xfId="8" applyNumberFormat="1" applyFont="1" applyFill="1" applyBorder="1"/>
    <xf numFmtId="49" fontId="18" fillId="5" borderId="41" xfId="8" applyNumberFormat="1" applyFont="1" applyFill="1" applyBorder="1" applyAlignment="1">
      <alignment horizontal="center"/>
    </xf>
    <xf numFmtId="0" fontId="18" fillId="5" borderId="41" xfId="8" applyFont="1" applyFill="1" applyBorder="1" applyAlignment="1">
      <alignment horizontal="center"/>
    </xf>
    <xf numFmtId="49" fontId="18" fillId="5" borderId="41" xfId="8" applyNumberFormat="1" applyFont="1" applyFill="1" applyBorder="1" applyAlignment="1">
      <alignment horizontal="center" vertical="center"/>
    </xf>
    <xf numFmtId="49" fontId="18" fillId="5" borderId="41" xfId="8" applyNumberFormat="1" applyFont="1" applyFill="1" applyBorder="1" applyAlignment="1">
      <alignment horizontal="center" vertical="center" wrapText="1"/>
    </xf>
    <xf numFmtId="10" fontId="19" fillId="5" borderId="41" xfId="8" applyNumberFormat="1" applyFont="1" applyFill="1" applyBorder="1"/>
    <xf numFmtId="49" fontId="17" fillId="5" borderId="47" xfId="8" applyNumberFormat="1" applyFill="1" applyBorder="1" applyAlignment="1">
      <alignment vertical="center"/>
    </xf>
    <xf numFmtId="0" fontId="21" fillId="5" borderId="0" xfId="8" applyFont="1" applyFill="1" applyBorder="1" applyAlignment="1">
      <alignment horizontal="right"/>
    </xf>
    <xf numFmtId="49" fontId="17" fillId="5" borderId="47" xfId="8" applyNumberFormat="1" applyFill="1" applyBorder="1"/>
    <xf numFmtId="49" fontId="22" fillId="5" borderId="41" xfId="8" applyNumberFormat="1" applyFont="1" applyFill="1" applyBorder="1" applyAlignment="1">
      <alignment horizontal="justify"/>
    </xf>
    <xf numFmtId="49" fontId="17" fillId="5" borderId="57" xfId="8" applyNumberFormat="1" applyFill="1" applyBorder="1"/>
    <xf numFmtId="0" fontId="17" fillId="5" borderId="58" xfId="8" applyFill="1" applyBorder="1" applyAlignment="1">
      <alignment vertical="center" wrapText="1"/>
    </xf>
    <xf numFmtId="0" fontId="17" fillId="5" borderId="59" xfId="8" applyFill="1" applyBorder="1" applyAlignment="1">
      <alignment vertical="center" wrapText="1"/>
    </xf>
    <xf numFmtId="49" fontId="19" fillId="5" borderId="41" xfId="8" applyNumberFormat="1" applyFont="1" applyFill="1" applyBorder="1"/>
    <xf numFmtId="49" fontId="17" fillId="5" borderId="60" xfId="8" applyNumberFormat="1" applyFill="1" applyBorder="1"/>
    <xf numFmtId="0" fontId="17" fillId="5" borderId="61" xfId="8" applyFill="1" applyBorder="1" applyAlignment="1">
      <alignment vertical="center" wrapText="1"/>
    </xf>
    <xf numFmtId="0" fontId="17" fillId="5" borderId="62" xfId="8" applyFill="1" applyBorder="1" applyAlignment="1">
      <alignment vertical="center" wrapText="1"/>
    </xf>
    <xf numFmtId="49" fontId="17" fillId="5" borderId="63" xfId="8" applyNumberFormat="1" applyFill="1" applyBorder="1"/>
    <xf numFmtId="0" fontId="19" fillId="5" borderId="64" xfId="8" applyFont="1" applyFill="1" applyBorder="1"/>
    <xf numFmtId="0" fontId="17" fillId="5" borderId="64" xfId="8" applyFill="1" applyBorder="1"/>
    <xf numFmtId="0" fontId="17" fillId="5" borderId="65" xfId="8" applyFill="1" applyBorder="1"/>
    <xf numFmtId="0" fontId="19" fillId="5" borderId="47" xfId="8" applyFont="1" applyFill="1" applyBorder="1"/>
    <xf numFmtId="0" fontId="19" fillId="5" borderId="44" xfId="8" applyFont="1" applyFill="1" applyBorder="1"/>
    <xf numFmtId="0" fontId="17" fillId="5" borderId="44" xfId="8" applyFill="1" applyBorder="1"/>
    <xf numFmtId="10" fontId="18" fillId="5" borderId="48" xfId="8" applyNumberFormat="1" applyFont="1" applyFill="1" applyBorder="1"/>
    <xf numFmtId="2" fontId="19" fillId="5" borderId="47" xfId="8" applyNumberFormat="1" applyFont="1" applyFill="1" applyBorder="1"/>
    <xf numFmtId="49" fontId="17" fillId="5" borderId="53" xfId="8" applyNumberFormat="1" applyFill="1" applyBorder="1" applyAlignment="1">
      <alignment vertical="center"/>
    </xf>
    <xf numFmtId="0" fontId="17" fillId="5" borderId="54" xfId="8" applyFill="1" applyBorder="1" applyAlignment="1">
      <alignment vertical="center"/>
    </xf>
    <xf numFmtId="0" fontId="17" fillId="5" borderId="55" xfId="8" applyFill="1" applyBorder="1" applyAlignment="1">
      <alignment vertical="center"/>
    </xf>
    <xf numFmtId="10" fontId="17" fillId="5" borderId="41" xfId="8" applyNumberFormat="1" applyFill="1" applyBorder="1" applyAlignment="1">
      <alignment horizontal="center" vertical="center"/>
    </xf>
    <xf numFmtId="10" fontId="19" fillId="5" borderId="41" xfId="8" applyNumberFormat="1" applyFont="1" applyFill="1" applyBorder="1" applyAlignment="1">
      <alignment horizontal="right"/>
    </xf>
    <xf numFmtId="10" fontId="18" fillId="5" borderId="48" xfId="8" applyNumberFormat="1" applyFont="1" applyFill="1" applyBorder="1" applyAlignment="1">
      <alignment horizontal="right"/>
    </xf>
    <xf numFmtId="49" fontId="19" fillId="5" borderId="44" xfId="8" applyNumberFormat="1" applyFont="1" applyFill="1" applyBorder="1"/>
    <xf numFmtId="49" fontId="19" fillId="5" borderId="0" xfId="8" applyNumberFormat="1" applyFont="1" applyFill="1" applyBorder="1"/>
    <xf numFmtId="9" fontId="18" fillId="3" borderId="48" xfId="8" applyNumberFormat="1" applyFont="1" applyFill="1" applyBorder="1" applyAlignment="1">
      <alignment horizontal="center" vertical="center" wrapText="1"/>
    </xf>
    <xf numFmtId="165" fontId="18" fillId="3" borderId="48" xfId="8" applyNumberFormat="1" applyFont="1" applyFill="1" applyBorder="1" applyAlignment="1">
      <alignment horizontal="center" vertical="center" wrapText="1"/>
    </xf>
    <xf numFmtId="49" fontId="17" fillId="3" borderId="53" xfId="8" applyNumberFormat="1" applyFill="1" applyBorder="1" applyAlignment="1">
      <alignment vertical="center"/>
    </xf>
    <xf numFmtId="0" fontId="17" fillId="3" borderId="54" xfId="8" applyFill="1" applyBorder="1" applyAlignment="1">
      <alignment vertical="center"/>
    </xf>
    <xf numFmtId="0" fontId="17" fillId="3" borderId="55" xfId="8" applyFill="1" applyBorder="1" applyAlignment="1">
      <alignment vertical="center"/>
    </xf>
    <xf numFmtId="49" fontId="19" fillId="6" borderId="52" xfId="8" applyNumberFormat="1" applyFont="1" applyFill="1" applyBorder="1" applyAlignment="1">
      <alignment horizontal="center" vertical="center"/>
    </xf>
    <xf numFmtId="49" fontId="19" fillId="6" borderId="52" xfId="8" applyNumberFormat="1" applyFont="1" applyFill="1" applyBorder="1" applyAlignment="1">
      <alignment horizontal="center" vertical="center" wrapText="1"/>
    </xf>
    <xf numFmtId="10" fontId="18" fillId="6" borderId="41" xfId="8" applyNumberFormat="1" applyFont="1" applyFill="1" applyBorder="1" applyAlignment="1">
      <alignment horizontal="center" vertical="center" wrapText="1"/>
    </xf>
    <xf numFmtId="49" fontId="24" fillId="6" borderId="53" xfId="8" applyNumberFormat="1" applyFont="1" applyFill="1" applyBorder="1" applyAlignment="1">
      <alignment vertical="center"/>
    </xf>
    <xf numFmtId="0" fontId="24" fillId="6" borderId="54" xfId="8" applyFont="1" applyFill="1" applyBorder="1" applyAlignment="1">
      <alignment vertical="center"/>
    </xf>
    <xf numFmtId="0" fontId="24" fillId="6" borderId="55" xfId="8" applyFont="1" applyFill="1" applyBorder="1" applyAlignment="1">
      <alignment vertical="center"/>
    </xf>
    <xf numFmtId="10" fontId="24" fillId="6" borderId="41" xfId="8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5" fillId="2" borderId="16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0" fontId="14" fillId="4" borderId="6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164" fontId="27" fillId="2" borderId="12" xfId="0" applyNumberFormat="1" applyFont="1" applyFill="1" applyBorder="1" applyAlignment="1">
      <alignment horizontal="center" vertical="center"/>
    </xf>
    <xf numFmtId="164" fontId="27" fillId="2" borderId="11" xfId="0" applyNumberFormat="1" applyFont="1" applyFill="1" applyBorder="1" applyAlignment="1">
      <alignment horizontal="center" vertical="center"/>
    </xf>
    <xf numFmtId="10" fontId="14" fillId="2" borderId="6" xfId="4" applyNumberFormat="1" applyFont="1" applyFill="1" applyBorder="1" applyAlignment="1">
      <alignment horizontal="center" vertical="center"/>
    </xf>
    <xf numFmtId="10" fontId="14" fillId="2" borderId="6" xfId="6" applyNumberFormat="1" applyFont="1" applyFill="1" applyBorder="1" applyAlignment="1">
      <alignment horizontal="center" vertical="center" wrapText="1"/>
    </xf>
    <xf numFmtId="164" fontId="9" fillId="2" borderId="11" xfId="6" applyNumberFormat="1" applyFont="1" applyFill="1" applyBorder="1" applyAlignment="1">
      <alignment horizontal="center" vertical="center" wrapText="1"/>
    </xf>
    <xf numFmtId="164" fontId="9" fillId="0" borderId="12" xfId="6" applyNumberFormat="1" applyFont="1" applyBorder="1" applyAlignment="1">
      <alignment horizontal="center" vertical="center"/>
    </xf>
    <xf numFmtId="164" fontId="9" fillId="2" borderId="11" xfId="4" applyNumberFormat="1" applyFont="1" applyFill="1" applyBorder="1" applyAlignment="1">
      <alignment horizontal="center" vertical="center"/>
    </xf>
    <xf numFmtId="164" fontId="9" fillId="2" borderId="8" xfId="0" applyNumberFormat="1" applyFont="1" applyFill="1" applyBorder="1" applyAlignment="1">
      <alignment horizontal="center" vertical="center"/>
    </xf>
    <xf numFmtId="164" fontId="9" fillId="2" borderId="6" xfId="0" applyNumberFormat="1" applyFont="1" applyFill="1" applyBorder="1" applyAlignment="1">
      <alignment horizontal="center" vertical="center"/>
    </xf>
    <xf numFmtId="0" fontId="7" fillId="0" borderId="0" xfId="2" applyFont="1" applyAlignment="1">
      <alignment vertical="center" wrapText="1"/>
    </xf>
    <xf numFmtId="0" fontId="8" fillId="0" borderId="0" xfId="2"/>
    <xf numFmtId="0" fontId="7" fillId="2" borderId="0" xfId="2" applyFont="1" applyFill="1" applyAlignment="1">
      <alignment horizontal="center" vertical="center" wrapText="1"/>
    </xf>
    <xf numFmtId="0" fontId="8" fillId="7" borderId="2" xfId="9" applyFill="1" applyBorder="1" applyAlignment="1">
      <alignment horizontal="center" vertical="center" wrapText="1"/>
    </xf>
    <xf numFmtId="0" fontId="8" fillId="7" borderId="74" xfId="9" applyFill="1" applyBorder="1" applyAlignment="1">
      <alignment horizontal="center" vertical="center" wrapText="1"/>
    </xf>
    <xf numFmtId="0" fontId="7" fillId="7" borderId="3" xfId="2" applyFont="1" applyFill="1" applyBorder="1" applyAlignment="1">
      <alignment horizontal="center" vertical="center" wrapText="1"/>
    </xf>
    <xf numFmtId="0" fontId="8" fillId="7" borderId="3" xfId="9" applyFill="1" applyBorder="1" applyAlignment="1">
      <alignment horizontal="center" vertical="center" wrapText="1"/>
    </xf>
    <xf numFmtId="166" fontId="0" fillId="0" borderId="0" xfId="5" applyFont="1" applyBorder="1" applyAlignment="1">
      <alignment vertical="center"/>
    </xf>
    <xf numFmtId="0" fontId="9" fillId="0" borderId="5" xfId="2" applyFont="1" applyBorder="1" applyAlignment="1">
      <alignment horizontal="center" vertical="center" wrapText="1"/>
    </xf>
    <xf numFmtId="0" fontId="8" fillId="2" borderId="75" xfId="2" applyFill="1" applyBorder="1" applyAlignment="1">
      <alignment horizontal="center" vertical="center" wrapText="1"/>
    </xf>
    <xf numFmtId="0" fontId="8" fillId="8" borderId="6" xfId="2" applyFill="1" applyBorder="1" applyAlignment="1">
      <alignment horizontal="justify" vertical="center" wrapText="1"/>
    </xf>
    <xf numFmtId="166" fontId="0" fillId="0" borderId="6" xfId="5" applyFont="1" applyBorder="1" applyAlignment="1">
      <alignment vertical="center"/>
    </xf>
    <xf numFmtId="0" fontId="8" fillId="0" borderId="6" xfId="2" applyBorder="1"/>
    <xf numFmtId="0" fontId="7" fillId="0" borderId="0" xfId="2" applyFont="1" applyAlignment="1">
      <alignment horizontal="center"/>
    </xf>
    <xf numFmtId="166" fontId="8" fillId="0" borderId="0" xfId="5" applyBorder="1" applyAlignment="1">
      <alignment vertical="center" wrapText="1"/>
    </xf>
    <xf numFmtId="0" fontId="8" fillId="2" borderId="6" xfId="9" applyFill="1" applyBorder="1" applyAlignment="1">
      <alignment horizontal="center" vertical="center" wrapText="1"/>
    </xf>
    <xf numFmtId="0" fontId="8" fillId="8" borderId="6" xfId="9" applyFill="1" applyBorder="1" applyAlignment="1">
      <alignment horizontal="justify" vertical="center" wrapText="1"/>
    </xf>
    <xf numFmtId="164" fontId="8" fillId="2" borderId="6" xfId="5" applyNumberFormat="1" applyFill="1" applyBorder="1" applyAlignment="1">
      <alignment vertical="center" wrapText="1"/>
    </xf>
    <xf numFmtId="0" fontId="8" fillId="8" borderId="6" xfId="9" applyFill="1" applyBorder="1" applyAlignment="1">
      <alignment horizontal="justify" vertical="justify" wrapText="1"/>
    </xf>
    <xf numFmtId="0" fontId="13" fillId="2" borderId="11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14" fillId="2" borderId="5" xfId="2" applyFont="1" applyFill="1" applyBorder="1" applyAlignment="1">
      <alignment horizontal="center" vertical="center" wrapText="1"/>
    </xf>
    <xf numFmtId="164" fontId="9" fillId="2" borderId="6" xfId="6" applyNumberFormat="1" applyFont="1" applyFill="1" applyBorder="1" applyAlignment="1">
      <alignment horizontal="center" vertical="center" wrapText="1"/>
    </xf>
    <xf numFmtId="164" fontId="9" fillId="2" borderId="6" xfId="4" applyNumberFormat="1" applyFont="1" applyFill="1" applyBorder="1" applyAlignment="1">
      <alignment horizontal="center" vertical="center"/>
    </xf>
    <xf numFmtId="164" fontId="9" fillId="0" borderId="8" xfId="6" applyNumberFormat="1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164" fontId="8" fillId="2" borderId="8" xfId="0" applyNumberFormat="1" applyFont="1" applyFill="1" applyBorder="1" applyAlignment="1">
      <alignment vertical="center"/>
    </xf>
    <xf numFmtId="164" fontId="8" fillId="2" borderId="12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3" fillId="2" borderId="0" xfId="0" applyFont="1" applyFill="1" applyBorder="1"/>
    <xf numFmtId="0" fontId="29" fillId="0" borderId="0" xfId="0" applyFont="1" applyBorder="1" applyAlignment="1">
      <alignment vertical="center" wrapText="1"/>
    </xf>
    <xf numFmtId="0" fontId="3" fillId="2" borderId="81" xfId="0" applyFont="1" applyFill="1" applyBorder="1" applyAlignment="1">
      <alignment horizontal="center" vertical="center" wrapText="1"/>
    </xf>
    <xf numFmtId="17" fontId="3" fillId="2" borderId="5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17" fontId="3" fillId="2" borderId="32" xfId="0" applyNumberFormat="1" applyFont="1" applyFill="1" applyBorder="1"/>
    <xf numFmtId="0" fontId="13" fillId="2" borderId="0" xfId="0" applyFont="1" applyFill="1" applyBorder="1" applyAlignment="1">
      <alignment horizontal="center" vertical="center"/>
    </xf>
    <xf numFmtId="0" fontId="13" fillId="2" borderId="33" xfId="0" applyFont="1" applyFill="1" applyBorder="1"/>
    <xf numFmtId="0" fontId="3" fillId="2" borderId="3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4" fillId="0" borderId="32" xfId="0" applyFont="1" applyBorder="1" applyAlignment="1">
      <alignment vertical="center" wrapText="1"/>
    </xf>
    <xf numFmtId="1" fontId="8" fillId="0" borderId="12" xfId="2" applyNumberFormat="1" applyFont="1" applyFill="1" applyBorder="1"/>
    <xf numFmtId="0" fontId="6" fillId="2" borderId="0" xfId="0" applyFont="1" applyFill="1"/>
    <xf numFmtId="44" fontId="13" fillId="0" borderId="0" xfId="0" applyNumberFormat="1" applyFont="1" applyBorder="1" applyAlignment="1">
      <alignment vertical="center"/>
    </xf>
    <xf numFmtId="44" fontId="13" fillId="2" borderId="0" xfId="0" applyNumberFormat="1" applyFont="1" applyFill="1" applyBorder="1" applyAlignment="1">
      <alignment vertical="center"/>
    </xf>
    <xf numFmtId="0" fontId="13" fillId="2" borderId="0" xfId="0" applyFont="1" applyFill="1" applyBorder="1" applyAlignment="1">
      <alignment vertical="center"/>
    </xf>
    <xf numFmtId="0" fontId="7" fillId="9" borderId="2" xfId="2" applyFont="1" applyFill="1" applyBorder="1" applyAlignment="1">
      <alignment horizontal="center" vertical="center" wrapText="1"/>
    </xf>
    <xf numFmtId="0" fontId="7" fillId="9" borderId="3" xfId="2" applyFont="1" applyFill="1" applyBorder="1" applyAlignment="1">
      <alignment horizontal="center" vertical="center" wrapText="1"/>
    </xf>
    <xf numFmtId="0" fontId="7" fillId="9" borderId="76" xfId="2" applyFont="1" applyFill="1" applyBorder="1" applyAlignment="1">
      <alignment horizontal="center" vertical="center" wrapText="1"/>
    </xf>
    <xf numFmtId="0" fontId="7" fillId="9" borderId="4" xfId="2" applyFont="1" applyFill="1" applyBorder="1" applyAlignment="1">
      <alignment horizontal="center" vertical="center" wrapText="1"/>
    </xf>
    <xf numFmtId="0" fontId="8" fillId="0" borderId="27" xfId="2" applyFont="1" applyFill="1" applyBorder="1" applyAlignment="1">
      <alignment horizontal="left" vertical="center" wrapText="1"/>
    </xf>
    <xf numFmtId="4" fontId="8" fillId="0" borderId="11" xfId="2" applyNumberFormat="1" applyFont="1" applyFill="1" applyBorder="1" applyAlignment="1">
      <alignment horizontal="center" vertical="center" wrapText="1"/>
    </xf>
    <xf numFmtId="0" fontId="8" fillId="2" borderId="11" xfId="2" applyFont="1" applyFill="1" applyBorder="1" applyAlignment="1">
      <alignment horizontal="center" vertical="center" wrapText="1"/>
    </xf>
    <xf numFmtId="0" fontId="8" fillId="2" borderId="70" xfId="2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/>
    </xf>
    <xf numFmtId="164" fontId="5" fillId="2" borderId="73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44" fontId="3" fillId="2" borderId="6" xfId="0" applyNumberFormat="1" applyFont="1" applyFill="1" applyBorder="1" applyAlignment="1">
      <alignment horizontal="center" vertical="center"/>
    </xf>
    <xf numFmtId="44" fontId="3" fillId="2" borderId="8" xfId="0" applyNumberFormat="1" applyFont="1" applyFill="1" applyBorder="1" applyAlignment="1">
      <alignment horizontal="center" vertical="center"/>
    </xf>
    <xf numFmtId="10" fontId="8" fillId="2" borderId="11" xfId="1" applyNumberFormat="1" applyFont="1" applyFill="1" applyBorder="1" applyAlignment="1">
      <alignment horizontal="center" vertical="center" wrapText="1"/>
    </xf>
    <xf numFmtId="166" fontId="14" fillId="2" borderId="9" xfId="11" applyFont="1" applyFill="1" applyBorder="1" applyAlignment="1">
      <alignment horizontal="center" vertical="center" wrapText="1"/>
    </xf>
    <xf numFmtId="0" fontId="15" fillId="2" borderId="0" xfId="10" applyFont="1" applyFill="1" applyBorder="1"/>
    <xf numFmtId="166" fontId="14" fillId="2" borderId="9" xfId="11" applyFont="1" applyFill="1" applyBorder="1" applyAlignment="1">
      <alignment vertical="center"/>
    </xf>
    <xf numFmtId="4" fontId="14" fillId="2" borderId="16" xfId="10" applyNumberFormat="1" applyFont="1" applyFill="1" applyBorder="1" applyAlignment="1">
      <alignment horizontal="center" vertical="center" wrapText="1"/>
    </xf>
    <xf numFmtId="166" fontId="9" fillId="2" borderId="11" xfId="11" applyFont="1" applyFill="1" applyBorder="1" applyAlignment="1">
      <alignment vertical="center"/>
    </xf>
    <xf numFmtId="0" fontId="8" fillId="0" borderId="0" xfId="2" applyFont="1"/>
    <xf numFmtId="0" fontId="7" fillId="7" borderId="2" xfId="9" applyFont="1" applyFill="1" applyBorder="1" applyAlignment="1">
      <alignment horizontal="center" vertical="center" wrapText="1"/>
    </xf>
    <xf numFmtId="0" fontId="7" fillId="7" borderId="74" xfId="9" applyFont="1" applyFill="1" applyBorder="1" applyAlignment="1">
      <alignment horizontal="center" vertical="center" wrapText="1"/>
    </xf>
    <xf numFmtId="0" fontId="7" fillId="7" borderId="3" xfId="9" applyFont="1" applyFill="1" applyBorder="1" applyAlignment="1">
      <alignment horizontal="center" vertical="center" wrapText="1"/>
    </xf>
    <xf numFmtId="0" fontId="7" fillId="7" borderId="4" xfId="9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8" fillId="2" borderId="75" xfId="2" applyFont="1" applyFill="1" applyBorder="1" applyAlignment="1">
      <alignment horizontal="center" vertical="center" wrapText="1"/>
    </xf>
    <xf numFmtId="0" fontId="8" fillId="8" borderId="6" xfId="2" applyFont="1" applyFill="1" applyBorder="1" applyAlignment="1">
      <alignment horizontal="justify" vertical="center" wrapText="1"/>
    </xf>
    <xf numFmtId="44" fontId="13" fillId="0" borderId="6" xfId="12" applyFont="1" applyBorder="1" applyAlignment="1">
      <alignment vertical="center"/>
    </xf>
    <xf numFmtId="44" fontId="13" fillId="0" borderId="8" xfId="12" applyFont="1" applyBorder="1" applyAlignment="1">
      <alignment vertical="center"/>
    </xf>
    <xf numFmtId="0" fontId="7" fillId="0" borderId="8" xfId="2" applyFont="1" applyBorder="1"/>
    <xf numFmtId="2" fontId="7" fillId="2" borderId="12" xfId="2" applyNumberFormat="1" applyFont="1" applyFill="1" applyBorder="1" applyAlignment="1">
      <alignment horizontal="center" vertical="center" wrapText="1"/>
    </xf>
    <xf numFmtId="0" fontId="13" fillId="0" borderId="0" xfId="0" applyFont="1"/>
    <xf numFmtId="0" fontId="7" fillId="7" borderId="76" xfId="9" applyFont="1" applyFill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3" fontId="23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2" applyFont="1" applyBorder="1" applyAlignment="1">
      <alignment horizontal="center" vertical="center" wrapText="1"/>
    </xf>
    <xf numFmtId="9" fontId="8" fillId="0" borderId="6" xfId="4" applyFont="1" applyFill="1" applyBorder="1" applyAlignment="1">
      <alignment horizontal="center" vertical="center" wrapText="1"/>
    </xf>
    <xf numFmtId="166" fontId="13" fillId="0" borderId="6" xfId="5" applyFont="1" applyBorder="1" applyAlignment="1">
      <alignment vertical="center"/>
    </xf>
    <xf numFmtId="166" fontId="13" fillId="0" borderId="85" xfId="5" applyFont="1" applyBorder="1" applyAlignment="1">
      <alignment vertical="center"/>
    </xf>
    <xf numFmtId="0" fontId="23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166" fontId="3" fillId="0" borderId="12" xfId="5" applyFont="1" applyBorder="1" applyAlignment="1">
      <alignment vertical="center"/>
    </xf>
    <xf numFmtId="9" fontId="13" fillId="0" borderId="0" xfId="0" applyNumberFormat="1" applyFont="1"/>
    <xf numFmtId="164" fontId="2" fillId="0" borderId="6" xfId="0" applyNumberFormat="1" applyFont="1" applyBorder="1" applyAlignment="1">
      <alignment horizontal="center" vertical="center"/>
    </xf>
    <xf numFmtId="167" fontId="6" fillId="0" borderId="12" xfId="5" applyNumberFormat="1" applyFont="1" applyBorder="1" applyAlignment="1">
      <alignment vertical="center"/>
    </xf>
    <xf numFmtId="166" fontId="14" fillId="2" borderId="11" xfId="11" applyFont="1" applyFill="1" applyBorder="1" applyAlignment="1">
      <alignment vertical="center"/>
    </xf>
    <xf numFmtId="164" fontId="8" fillId="0" borderId="6" xfId="0" applyNumberFormat="1" applyFont="1" applyBorder="1" applyAlignment="1">
      <alignment vertical="center" wrapText="1"/>
    </xf>
    <xf numFmtId="164" fontId="8" fillId="0" borderId="11" xfId="0" applyNumberFormat="1" applyFont="1" applyBorder="1" applyAlignment="1">
      <alignment vertical="center" wrapText="1"/>
    </xf>
    <xf numFmtId="164" fontId="9" fillId="2" borderId="86" xfId="6" applyNumberFormat="1" applyFont="1" applyFill="1" applyBorder="1" applyAlignment="1">
      <alignment horizontal="center" vertical="center" wrapText="1"/>
    </xf>
    <xf numFmtId="0" fontId="14" fillId="2" borderId="27" xfId="2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vertical="center" wrapText="1"/>
    </xf>
    <xf numFmtId="164" fontId="8" fillId="0" borderId="12" xfId="0" applyNumberFormat="1" applyFont="1" applyBorder="1" applyAlignment="1">
      <alignment vertical="center" wrapText="1"/>
    </xf>
    <xf numFmtId="164" fontId="8" fillId="0" borderId="6" xfId="0" applyNumberFormat="1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vertical="center" wrapText="1"/>
    </xf>
    <xf numFmtId="164" fontId="7" fillId="0" borderId="12" xfId="0" applyNumberFormat="1" applyFont="1" applyBorder="1" applyAlignment="1">
      <alignment vertical="center" wrapText="1"/>
    </xf>
    <xf numFmtId="0" fontId="7" fillId="7" borderId="87" xfId="9" applyFont="1" applyFill="1" applyBorder="1" applyAlignment="1">
      <alignment horizontal="center" vertical="center" wrapText="1"/>
    </xf>
    <xf numFmtId="166" fontId="0" fillId="0" borderId="85" xfId="5" applyFont="1" applyBorder="1" applyAlignment="1">
      <alignment vertical="center"/>
    </xf>
    <xf numFmtId="166" fontId="35" fillId="0" borderId="88" xfId="5" applyFont="1" applyBorder="1" applyAlignment="1">
      <alignment vertical="center"/>
    </xf>
    <xf numFmtId="166" fontId="35" fillId="0" borderId="11" xfId="5" applyFont="1" applyBorder="1" applyAlignment="1">
      <alignment vertical="center"/>
    </xf>
    <xf numFmtId="164" fontId="35" fillId="0" borderId="88" xfId="5" applyNumberFormat="1" applyFont="1" applyBorder="1" applyAlignment="1">
      <alignment vertical="center"/>
    </xf>
    <xf numFmtId="164" fontId="0" fillId="0" borderId="11" xfId="5" applyNumberFormat="1" applyFont="1" applyBorder="1" applyAlignment="1">
      <alignment vertical="center"/>
    </xf>
    <xf numFmtId="0" fontId="5" fillId="4" borderId="28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justify" vertical="center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0" fontId="28" fillId="4" borderId="2" xfId="0" applyFont="1" applyFill="1" applyBorder="1" applyAlignment="1">
      <alignment horizontal="center" vertical="center"/>
    </xf>
    <xf numFmtId="0" fontId="28" fillId="4" borderId="5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2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72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27" fillId="2" borderId="24" xfId="0" applyFont="1" applyFill="1" applyBorder="1" applyAlignment="1">
      <alignment horizontal="left" vertical="center"/>
    </xf>
    <xf numFmtId="0" fontId="27" fillId="2" borderId="25" xfId="0" applyFont="1" applyFill="1" applyBorder="1" applyAlignment="1">
      <alignment horizontal="left" vertical="center"/>
    </xf>
    <xf numFmtId="0" fontId="27" fillId="2" borderId="26" xfId="0" applyFont="1" applyFill="1" applyBorder="1" applyAlignment="1">
      <alignment horizontal="left" vertical="center"/>
    </xf>
    <xf numFmtId="0" fontId="9" fillId="2" borderId="0" xfId="1" applyNumberFormat="1" applyFont="1" applyFill="1" applyAlignment="1">
      <alignment horizontal="center"/>
    </xf>
    <xf numFmtId="0" fontId="9" fillId="2" borderId="84" xfId="0" applyFont="1" applyFill="1" applyBorder="1" applyAlignment="1">
      <alignment vertical="center"/>
    </xf>
    <xf numFmtId="0" fontId="9" fillId="2" borderId="83" xfId="0" applyFont="1" applyFill="1" applyBorder="1" applyAlignment="1">
      <alignment vertical="center"/>
    </xf>
    <xf numFmtId="0" fontId="9" fillId="2" borderId="69" xfId="0" applyFont="1" applyFill="1" applyBorder="1" applyAlignment="1">
      <alignment vertical="center"/>
    </xf>
    <xf numFmtId="0" fontId="9" fillId="2" borderId="17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5" fillId="2" borderId="21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5" fillId="2" borderId="23" xfId="0" applyFont="1" applyFill="1" applyBorder="1" applyAlignment="1">
      <alignment horizontal="left" vertical="center"/>
    </xf>
    <xf numFmtId="0" fontId="5" fillId="2" borderId="82" xfId="0" applyFont="1" applyFill="1" applyBorder="1" applyAlignment="1">
      <alignment horizontal="center" vertical="center"/>
    </xf>
    <xf numFmtId="0" fontId="5" fillId="2" borderId="83" xfId="0" applyFont="1" applyFill="1" applyBorder="1" applyAlignment="1">
      <alignment horizontal="center" vertical="center"/>
    </xf>
    <xf numFmtId="0" fontId="5" fillId="2" borderId="69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36" fillId="2" borderId="13" xfId="10" applyFont="1" applyFill="1" applyBorder="1" applyAlignment="1">
      <alignment vertical="center" wrapText="1"/>
    </xf>
    <xf numFmtId="0" fontId="9" fillId="2" borderId="14" xfId="10" applyFont="1" applyFill="1" applyBorder="1" applyAlignment="1">
      <alignment vertical="center"/>
    </xf>
    <xf numFmtId="0" fontId="9" fillId="2" borderId="15" xfId="10" applyFont="1" applyFill="1" applyBorder="1" applyAlignment="1">
      <alignment vertical="center"/>
    </xf>
    <xf numFmtId="0" fontId="9" fillId="2" borderId="17" xfId="10" applyFont="1" applyFill="1" applyBorder="1" applyAlignment="1">
      <alignment vertical="center"/>
    </xf>
    <xf numFmtId="0" fontId="9" fillId="2" borderId="1" xfId="10" applyFont="1" applyFill="1" applyBorder="1" applyAlignment="1">
      <alignment vertical="center"/>
    </xf>
    <xf numFmtId="0" fontId="9" fillId="2" borderId="18" xfId="10" applyFont="1" applyFill="1" applyBorder="1" applyAlignment="1">
      <alignment vertical="center"/>
    </xf>
    <xf numFmtId="0" fontId="9" fillId="2" borderId="13" xfId="10" applyFont="1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2" borderId="77" xfId="0" applyFont="1" applyFill="1" applyBorder="1" applyAlignment="1">
      <alignment horizontal="center" vertical="center"/>
    </xf>
    <xf numFmtId="0" fontId="5" fillId="2" borderId="75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left"/>
    </xf>
    <xf numFmtId="0" fontId="13" fillId="2" borderId="0" xfId="0" applyFont="1" applyFill="1" applyAlignment="1">
      <alignment wrapText="1"/>
    </xf>
    <xf numFmtId="0" fontId="13" fillId="2" borderId="0" xfId="0" applyFont="1" applyFill="1" applyAlignment="1">
      <alignment horizontal="left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77" xfId="0" applyFont="1" applyFill="1" applyBorder="1" applyAlignment="1">
      <alignment horizontal="center" vertical="center" wrapText="1"/>
    </xf>
    <xf numFmtId="0" fontId="3" fillId="2" borderId="78" xfId="0" applyFont="1" applyFill="1" applyBorder="1" applyAlignment="1">
      <alignment horizontal="center" vertical="center" wrapText="1"/>
    </xf>
    <xf numFmtId="0" fontId="3" fillId="2" borderId="75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7" fillId="9" borderId="2" xfId="2" applyFont="1" applyFill="1" applyBorder="1" applyAlignment="1">
      <alignment horizontal="center"/>
    </xf>
    <xf numFmtId="0" fontId="7" fillId="9" borderId="3" xfId="2" applyFont="1" applyFill="1" applyBorder="1" applyAlignment="1">
      <alignment horizontal="center"/>
    </xf>
    <xf numFmtId="0" fontId="7" fillId="9" borderId="4" xfId="2" applyFont="1" applyFill="1" applyBorder="1" applyAlignment="1">
      <alignment horizontal="center"/>
    </xf>
    <xf numFmtId="0" fontId="8" fillId="0" borderId="5" xfId="2" applyBorder="1" applyAlignment="1">
      <alignment horizontal="left"/>
    </xf>
    <xf numFmtId="0" fontId="8" fillId="0" borderId="6" xfId="2" applyBorder="1" applyAlignment="1">
      <alignment horizontal="left"/>
    </xf>
    <xf numFmtId="0" fontId="8" fillId="0" borderId="27" xfId="2" applyFont="1" applyFill="1" applyBorder="1" applyAlignment="1">
      <alignment horizontal="left"/>
    </xf>
    <xf numFmtId="0" fontId="8" fillId="0" borderId="11" xfId="2" applyFont="1" applyFill="1" applyBorder="1" applyAlignment="1">
      <alignment horizontal="left"/>
    </xf>
    <xf numFmtId="9" fontId="7" fillId="2" borderId="7" xfId="2" applyNumberFormat="1" applyFont="1" applyFill="1" applyBorder="1" applyAlignment="1">
      <alignment horizontal="center" vertical="center" wrapText="1"/>
    </xf>
    <xf numFmtId="9" fontId="7" fillId="2" borderId="9" xfId="2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 wrapText="1"/>
    </xf>
    <xf numFmtId="0" fontId="7" fillId="0" borderId="79" xfId="0" applyFont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4" fillId="2" borderId="29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justify" vertical="center" wrapText="1"/>
    </xf>
    <xf numFmtId="0" fontId="6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/>
    </xf>
    <xf numFmtId="0" fontId="29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8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8" xfId="0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8" fillId="7" borderId="28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77" xfId="0" applyFont="1" applyFill="1" applyBorder="1" applyAlignment="1">
      <alignment horizontal="left" vertical="center" wrapText="1"/>
    </xf>
    <xf numFmtId="0" fontId="3" fillId="2" borderId="78" xfId="0" applyFont="1" applyFill="1" applyBorder="1" applyAlignment="1">
      <alignment horizontal="left" vertical="center" wrapText="1"/>
    </xf>
    <xf numFmtId="0" fontId="3" fillId="2" borderId="75" xfId="0" applyFont="1" applyFill="1" applyBorder="1" applyAlignment="1">
      <alignment horizontal="left" vertical="center" wrapText="1"/>
    </xf>
    <xf numFmtId="0" fontId="3" fillId="2" borderId="27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8" fillId="7" borderId="2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1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10" fontId="19" fillId="5" borderId="53" xfId="8" applyNumberFormat="1" applyFont="1" applyFill="1" applyBorder="1" applyAlignment="1">
      <alignment horizontal="center"/>
    </xf>
    <xf numFmtId="10" fontId="19" fillId="5" borderId="55" xfId="8" applyNumberFormat="1" applyFont="1" applyFill="1" applyBorder="1" applyAlignment="1">
      <alignment horizontal="center"/>
    </xf>
    <xf numFmtId="10" fontId="19" fillId="5" borderId="41" xfId="8" applyNumberFormat="1" applyFont="1" applyFill="1" applyBorder="1" applyAlignment="1">
      <alignment horizontal="right"/>
    </xf>
    <xf numFmtId="49" fontId="21" fillId="5" borderId="53" xfId="8" applyNumberFormat="1" applyFont="1" applyFill="1" applyBorder="1" applyAlignment="1">
      <alignment horizontal="left"/>
    </xf>
    <xf numFmtId="0" fontId="21" fillId="5" borderId="55" xfId="8" applyFont="1" applyFill="1" applyBorder="1" applyAlignment="1">
      <alignment horizontal="left"/>
    </xf>
    <xf numFmtId="49" fontId="33" fillId="5" borderId="0" xfId="8" applyNumberFormat="1" applyFont="1" applyFill="1" applyBorder="1" applyAlignment="1">
      <alignment horizontal="center" wrapText="1"/>
    </xf>
    <xf numFmtId="0" fontId="33" fillId="5" borderId="0" xfId="8" applyFont="1" applyFill="1" applyBorder="1" applyAlignment="1">
      <alignment horizontal="center" wrapText="1"/>
    </xf>
    <xf numFmtId="49" fontId="18" fillId="5" borderId="39" xfId="8" applyNumberFormat="1" applyFont="1" applyFill="1" applyBorder="1" applyAlignment="1">
      <alignment horizontal="center" wrapText="1"/>
    </xf>
    <xf numFmtId="0" fontId="18" fillId="5" borderId="39" xfId="8" applyFont="1" applyFill="1" applyBorder="1" applyAlignment="1">
      <alignment horizontal="center" wrapText="1"/>
    </xf>
    <xf numFmtId="49" fontId="21" fillId="4" borderId="41" xfId="8" applyNumberFormat="1" applyFont="1" applyFill="1" applyBorder="1" applyAlignment="1">
      <alignment horizontal="center" vertical="center" wrapText="1"/>
    </xf>
    <xf numFmtId="0" fontId="21" fillId="4" borderId="48" xfId="8" applyFont="1" applyFill="1" applyBorder="1" applyAlignment="1">
      <alignment horizontal="center" vertical="center" wrapText="1"/>
    </xf>
    <xf numFmtId="49" fontId="21" fillId="3" borderId="41" xfId="8" applyNumberFormat="1" applyFont="1" applyFill="1" applyBorder="1" applyAlignment="1">
      <alignment horizontal="center" vertical="center" wrapText="1"/>
    </xf>
    <xf numFmtId="0" fontId="21" fillId="3" borderId="48" xfId="8" applyFont="1" applyFill="1" applyBorder="1" applyAlignment="1">
      <alignment horizontal="center" vertical="center" wrapText="1"/>
    </xf>
    <xf numFmtId="0" fontId="21" fillId="3" borderId="41" xfId="8" applyFont="1" applyFill="1" applyBorder="1" applyAlignment="1">
      <alignment horizontal="center" vertical="center" wrapText="1"/>
    </xf>
    <xf numFmtId="49" fontId="18" fillId="3" borderId="43" xfId="8" applyNumberFormat="1" applyFont="1" applyFill="1" applyBorder="1" applyAlignment="1">
      <alignment horizontal="center" vertical="center" wrapText="1"/>
    </xf>
    <xf numFmtId="0" fontId="18" fillId="3" borderId="44" xfId="8" applyFont="1" applyFill="1" applyBorder="1" applyAlignment="1">
      <alignment horizontal="center" vertical="center" wrapText="1"/>
    </xf>
    <xf numFmtId="0" fontId="18" fillId="3" borderId="45" xfId="8" applyFont="1" applyFill="1" applyBorder="1" applyAlignment="1">
      <alignment horizontal="center" vertical="center" wrapText="1"/>
    </xf>
    <xf numFmtId="0" fontId="18" fillId="3" borderId="49" xfId="8" applyFont="1" applyFill="1" applyBorder="1" applyAlignment="1">
      <alignment horizontal="center" vertical="center" wrapText="1"/>
    </xf>
    <xf numFmtId="0" fontId="18" fillId="3" borderId="39" xfId="8" applyFont="1" applyFill="1" applyBorder="1" applyAlignment="1">
      <alignment horizontal="center" vertical="center" wrapText="1"/>
    </xf>
    <xf numFmtId="0" fontId="18" fillId="3" borderId="50" xfId="8" applyFont="1" applyFill="1" applyBorder="1" applyAlignment="1">
      <alignment horizontal="center" vertical="center" wrapText="1"/>
    </xf>
    <xf numFmtId="49" fontId="18" fillId="3" borderId="46" xfId="8" applyNumberFormat="1" applyFont="1" applyFill="1" applyBorder="1" applyAlignment="1">
      <alignment horizontal="center" vertical="center" wrapText="1"/>
    </xf>
    <xf numFmtId="0" fontId="18" fillId="3" borderId="51" xfId="8" applyFont="1" applyFill="1" applyBorder="1" applyAlignment="1">
      <alignment horizontal="center" vertical="center" wrapText="1"/>
    </xf>
    <xf numFmtId="49" fontId="18" fillId="5" borderId="52" xfId="8" applyNumberFormat="1" applyFont="1" applyFill="1" applyBorder="1" applyAlignment="1">
      <alignment horizontal="center"/>
    </xf>
    <xf numFmtId="0" fontId="18" fillId="5" borderId="52" xfId="8" applyFont="1" applyFill="1" applyBorder="1" applyAlignment="1">
      <alignment horizontal="center"/>
    </xf>
    <xf numFmtId="49" fontId="21" fillId="5" borderId="53" xfId="8" applyNumberFormat="1" applyFont="1" applyFill="1" applyBorder="1" applyAlignment="1">
      <alignment horizontal="center"/>
    </xf>
    <xf numFmtId="0" fontId="21" fillId="5" borderId="54" xfId="8" applyFont="1" applyFill="1" applyBorder="1" applyAlignment="1">
      <alignment horizontal="center"/>
    </xf>
    <xf numFmtId="0" fontId="21" fillId="5" borderId="55" xfId="8" applyFont="1" applyFill="1" applyBorder="1" applyAlignment="1">
      <alignment horizontal="center"/>
    </xf>
    <xf numFmtId="49" fontId="18" fillId="6" borderId="53" xfId="8" applyNumberFormat="1" applyFont="1" applyFill="1" applyBorder="1" applyAlignment="1">
      <alignment horizontal="center" vertical="center" wrapText="1"/>
    </xf>
    <xf numFmtId="0" fontId="18" fillId="6" borderId="54" xfId="8" applyFont="1" applyFill="1" applyBorder="1" applyAlignment="1">
      <alignment horizontal="center" vertical="center" wrapText="1"/>
    </xf>
    <xf numFmtId="0" fontId="18" fillId="6" borderId="55" xfId="8" applyFont="1" applyFill="1" applyBorder="1" applyAlignment="1">
      <alignment horizontal="center" vertical="center" wrapText="1"/>
    </xf>
    <xf numFmtId="49" fontId="18" fillId="5" borderId="48" xfId="8" applyNumberFormat="1" applyFont="1" applyFill="1" applyBorder="1" applyAlignment="1">
      <alignment horizontal="left"/>
    </xf>
    <xf numFmtId="0" fontId="18" fillId="5" borderId="48" xfId="8" applyFont="1" applyFill="1" applyBorder="1" applyAlignment="1">
      <alignment horizontal="left"/>
    </xf>
    <xf numFmtId="10" fontId="18" fillId="5" borderId="48" xfId="8" applyNumberFormat="1" applyFont="1" applyFill="1" applyBorder="1" applyAlignment="1">
      <alignment horizontal="center"/>
    </xf>
    <xf numFmtId="49" fontId="21" fillId="5" borderId="43" xfId="8" applyNumberFormat="1" applyFont="1" applyFill="1" applyBorder="1" applyAlignment="1">
      <alignment horizontal="left"/>
    </xf>
    <xf numFmtId="0" fontId="21" fillId="5" borderId="44" xfId="8" applyFont="1" applyFill="1" applyBorder="1" applyAlignment="1">
      <alignment horizontal="left"/>
    </xf>
    <xf numFmtId="49" fontId="18" fillId="5" borderId="39" xfId="8" applyNumberFormat="1" applyFont="1" applyFill="1" applyBorder="1" applyAlignment="1">
      <alignment horizontal="center" vertical="center"/>
    </xf>
    <xf numFmtId="0" fontId="18" fillId="5" borderId="39" xfId="8" applyFont="1" applyFill="1" applyBorder="1" applyAlignment="1">
      <alignment horizontal="center" vertical="center"/>
    </xf>
    <xf numFmtId="49" fontId="18" fillId="3" borderId="53" xfId="8" applyNumberFormat="1" applyFont="1" applyFill="1" applyBorder="1" applyAlignment="1">
      <alignment horizontal="center" vertical="center"/>
    </xf>
    <xf numFmtId="0" fontId="18" fillId="3" borderId="54" xfId="8" applyFont="1" applyFill="1" applyBorder="1" applyAlignment="1">
      <alignment horizontal="center" vertical="center"/>
    </xf>
    <xf numFmtId="0" fontId="18" fillId="3" borderId="55" xfId="8" applyFont="1" applyFill="1" applyBorder="1" applyAlignment="1">
      <alignment horizontal="center" vertical="center"/>
    </xf>
    <xf numFmtId="49" fontId="18" fillId="6" borderId="66" xfId="8" applyNumberFormat="1" applyFont="1" applyFill="1" applyBorder="1" applyAlignment="1">
      <alignment horizontal="center" vertical="center" wrapText="1"/>
    </xf>
    <xf numFmtId="49" fontId="18" fillId="6" borderId="67" xfId="8" applyNumberFormat="1" applyFont="1" applyFill="1" applyBorder="1" applyAlignment="1">
      <alignment horizontal="center" vertical="center" wrapText="1"/>
    </xf>
    <xf numFmtId="49" fontId="18" fillId="6" borderId="49" xfId="8" applyNumberFormat="1" applyFont="1" applyFill="1" applyBorder="1" applyAlignment="1">
      <alignment horizontal="center" vertical="center" wrapText="1"/>
    </xf>
    <xf numFmtId="49" fontId="18" fillId="6" borderId="50" xfId="8" applyNumberFormat="1" applyFont="1" applyFill="1" applyBorder="1" applyAlignment="1">
      <alignment horizontal="center" vertical="center" wrapText="1"/>
    </xf>
    <xf numFmtId="49" fontId="19" fillId="5" borderId="0" xfId="8" applyNumberFormat="1" applyFont="1" applyFill="1" applyBorder="1" applyAlignment="1">
      <alignment horizontal="left" wrapText="1"/>
    </xf>
    <xf numFmtId="49" fontId="17" fillId="3" borderId="53" xfId="8" applyNumberFormat="1" applyFill="1" applyBorder="1" applyAlignment="1">
      <alignment horizontal="center" vertical="center"/>
    </xf>
    <xf numFmtId="0" fontId="17" fillId="3" borderId="55" xfId="8" applyFill="1" applyBorder="1" applyAlignment="1">
      <alignment horizontal="center" vertical="center"/>
    </xf>
    <xf numFmtId="49" fontId="17" fillId="5" borderId="43" xfId="8" applyNumberFormat="1" applyFill="1" applyBorder="1" applyAlignment="1">
      <alignment horizontal="left" vertical="center"/>
    </xf>
    <xf numFmtId="0" fontId="17" fillId="5" borderId="44" xfId="8" applyFill="1" applyBorder="1" applyAlignment="1">
      <alignment horizontal="left" vertical="center"/>
    </xf>
    <xf numFmtId="0" fontId="17" fillId="5" borderId="45" xfId="8" applyFill="1" applyBorder="1" applyAlignment="1">
      <alignment horizontal="left" vertical="center"/>
    </xf>
    <xf numFmtId="0" fontId="17" fillId="5" borderId="49" xfId="8" applyFill="1" applyBorder="1" applyAlignment="1">
      <alignment horizontal="left" vertical="center"/>
    </xf>
    <xf numFmtId="0" fontId="17" fillId="5" borderId="39" xfId="8" applyFill="1" applyBorder="1" applyAlignment="1">
      <alignment horizontal="left" vertical="center"/>
    </xf>
    <xf numFmtId="0" fontId="17" fillId="5" borderId="50" xfId="8" applyFill="1" applyBorder="1" applyAlignment="1">
      <alignment horizontal="left" vertical="center"/>
    </xf>
    <xf numFmtId="10" fontId="17" fillId="5" borderId="46" xfId="8" applyNumberFormat="1" applyFill="1" applyBorder="1" applyAlignment="1">
      <alignment horizontal="center" vertical="center"/>
    </xf>
    <xf numFmtId="0" fontId="17" fillId="5" borderId="51" xfId="8" applyFill="1" applyBorder="1" applyAlignment="1">
      <alignment horizontal="center" vertical="center"/>
    </xf>
    <xf numFmtId="10" fontId="17" fillId="5" borderId="51" xfId="8" applyNumberFormat="1" applyFill="1" applyBorder="1" applyAlignment="1">
      <alignment horizontal="center" vertical="center"/>
    </xf>
    <xf numFmtId="0" fontId="7" fillId="8" borderId="24" xfId="2" applyFont="1" applyFill="1" applyBorder="1" applyAlignment="1">
      <alignment horizontal="center" vertical="center" wrapText="1"/>
    </xf>
    <xf numFmtId="0" fontId="7" fillId="8" borderId="25" xfId="2" applyFont="1" applyFill="1" applyBorder="1" applyAlignment="1">
      <alignment horizontal="center" vertical="center" wrapText="1"/>
    </xf>
    <xf numFmtId="0" fontId="7" fillId="8" borderId="26" xfId="2" applyFont="1" applyFill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22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/>
    </xf>
    <xf numFmtId="0" fontId="34" fillId="0" borderId="0" xfId="2" applyFont="1" applyFill="1" applyBorder="1" applyAlignment="1">
      <alignment horizontal="justify" vertical="justify" wrapText="1"/>
    </xf>
    <xf numFmtId="0" fontId="34" fillId="0" borderId="0" xfId="2" applyFont="1" applyAlignment="1">
      <alignment horizontal="justify" vertical="justify" wrapText="1"/>
    </xf>
    <xf numFmtId="0" fontId="4" fillId="0" borderId="0" xfId="2" applyFont="1" applyAlignment="1">
      <alignment horizontal="center" wrapText="1"/>
    </xf>
    <xf numFmtId="0" fontId="4" fillId="0" borderId="0" xfId="2" applyFont="1" applyAlignment="1">
      <alignment horizontal="center"/>
    </xf>
    <xf numFmtId="0" fontId="7" fillId="0" borderId="24" xfId="2" applyFont="1" applyBorder="1" applyAlignment="1">
      <alignment horizontal="center" vertical="center" wrapText="1"/>
    </xf>
    <xf numFmtId="0" fontId="7" fillId="0" borderId="25" xfId="2" applyFont="1" applyBorder="1" applyAlignment="1">
      <alignment horizontal="center" vertical="center" wrapText="1"/>
    </xf>
    <xf numFmtId="0" fontId="7" fillId="0" borderId="26" xfId="2" applyFont="1" applyBorder="1" applyAlignment="1">
      <alignment horizontal="center" vertical="center" wrapText="1"/>
    </xf>
    <xf numFmtId="0" fontId="4" fillId="3" borderId="13" xfId="6" applyFont="1" applyFill="1" applyBorder="1" applyAlignment="1">
      <alignment horizontal="center" vertical="center" wrapText="1"/>
    </xf>
    <xf numFmtId="0" fontId="4" fillId="3" borderId="14" xfId="6" applyFont="1" applyFill="1" applyBorder="1" applyAlignment="1">
      <alignment horizontal="center" vertical="center" wrapText="1"/>
    </xf>
    <xf numFmtId="0" fontId="4" fillId="3" borderId="31" xfId="6" applyFont="1" applyFill="1" applyBorder="1" applyAlignment="1">
      <alignment horizontal="center" vertical="center" wrapText="1"/>
    </xf>
    <xf numFmtId="0" fontId="4" fillId="3" borderId="32" xfId="6" applyFont="1" applyFill="1" applyBorder="1" applyAlignment="1">
      <alignment horizontal="center" vertical="center" wrapText="1"/>
    </xf>
    <xf numFmtId="0" fontId="4" fillId="3" borderId="0" xfId="6" applyFont="1" applyFill="1" applyAlignment="1">
      <alignment horizontal="center" vertical="center" wrapText="1"/>
    </xf>
    <xf numFmtId="0" fontId="4" fillId="3" borderId="33" xfId="6" applyFont="1" applyFill="1" applyBorder="1" applyAlignment="1">
      <alignment horizontal="center" vertical="center" wrapText="1"/>
    </xf>
    <xf numFmtId="0" fontId="4" fillId="4" borderId="5" xfId="6" applyFont="1" applyFill="1" applyBorder="1" applyAlignment="1">
      <alignment horizontal="center" vertical="center" wrapText="1"/>
    </xf>
    <xf numFmtId="0" fontId="14" fillId="3" borderId="6" xfId="6" applyFont="1" applyFill="1" applyBorder="1" applyAlignment="1">
      <alignment horizontal="center" vertical="center" wrapText="1"/>
    </xf>
    <xf numFmtId="0" fontId="14" fillId="4" borderId="6" xfId="6" applyFont="1" applyFill="1" applyBorder="1" applyAlignment="1">
      <alignment horizontal="center" vertical="center" wrapText="1"/>
    </xf>
    <xf numFmtId="0" fontId="14" fillId="4" borderId="85" xfId="6" applyFont="1" applyFill="1" applyBorder="1" applyAlignment="1">
      <alignment horizontal="center" vertical="center" wrapText="1"/>
    </xf>
  </cellXfs>
  <cellStyles count="13">
    <cellStyle name="Moeda" xfId="12" builtinId="4"/>
    <cellStyle name="Normal" xfId="0" builtinId="0"/>
    <cellStyle name="Normal 2" xfId="2" xr:uid="{00000000-0005-0000-0000-000002000000}"/>
    <cellStyle name="Normal 2 2" xfId="6" xr:uid="{00000000-0005-0000-0000-000003000000}"/>
    <cellStyle name="Normal 3" xfId="8" xr:uid="{00000000-0005-0000-0000-000004000000}"/>
    <cellStyle name="Normal 4" xfId="9" xr:uid="{00000000-0005-0000-0000-000005000000}"/>
    <cellStyle name="Normal 4 2" xfId="10" xr:uid="{00000000-0005-0000-0000-000006000000}"/>
    <cellStyle name="Porcentagem" xfId="1" builtinId="5"/>
    <cellStyle name="Porcentagem 2 2 2" xfId="4" xr:uid="{00000000-0005-0000-0000-000008000000}"/>
    <cellStyle name="Porcentagem 4" xfId="3" xr:uid="{00000000-0005-0000-0000-000009000000}"/>
    <cellStyle name="Porcentagem 4 3" xfId="7" xr:uid="{00000000-0005-0000-0000-00000A000000}"/>
    <cellStyle name="Vírgula 2 2 3" xfId="5" xr:uid="{00000000-0005-0000-0000-00000B000000}"/>
    <cellStyle name="Vírgula 5 2" xfId="1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2679700</xdr:colOff>
      <xdr:row>14</xdr:row>
      <xdr:rowOff>142239</xdr:rowOff>
    </xdr:from>
    <xdr:to>
      <xdr:col>8</xdr:col>
      <xdr:colOff>654843</xdr:colOff>
      <xdr:row>20</xdr:row>
      <xdr:rowOff>89849</xdr:rowOff>
    </xdr:to>
    <xdr:pic>
      <xdr:nvPicPr>
        <xdr:cNvPr id="2" name="Imagem 1" descr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23525" y="2818764"/>
          <a:ext cx="1766093" cy="111918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MAP/SECT/PLANILHAS/Planilha%20para%20posto%20de%20trabalho%20-%20model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PLANILHAS\0.Modelo\Planilha%20para%20Posto%20de%20Trabalho%20-%20Model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 desoneração"/>
      <sheetName val="Desoneração"/>
      <sheetName val="HORAS,VT,VA,CAFÉ"/>
      <sheetName val="Encargos Sociais-BDI SEM Deso"/>
      <sheetName val="Encargos Sociais- BDI COM Deso"/>
      <sheetName val="Uniforme"/>
    </sheetNames>
    <sheetDataSet>
      <sheetData sheetId="0" refreshError="1"/>
      <sheetData sheetId="1"/>
      <sheetData sheetId="2">
        <row r="19">
          <cell r="B19">
            <v>0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 estimativa de custos"/>
      <sheetName val="HORAS,VT,VA"/>
      <sheetName val="Encargos Sociais e CITL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1C1A3"/>
    <pageSetUpPr fitToPage="1"/>
  </sheetPr>
  <dimension ref="A1:R41"/>
  <sheetViews>
    <sheetView tabSelected="1" showRuler="0" zoomScale="90" zoomScaleNormal="90" zoomScaleSheetLayoutView="80" zoomScalePageLayoutView="90" workbookViewId="0">
      <selection activeCell="Q34" sqref="Q34"/>
    </sheetView>
  </sheetViews>
  <sheetFormatPr defaultColWidth="8.85546875" defaultRowHeight="14.25" x14ac:dyDescent="0.2"/>
  <cols>
    <col min="1" max="1" width="29.7109375" style="1" customWidth="1"/>
    <col min="2" max="2" width="26" style="1" customWidth="1"/>
    <col min="3" max="3" width="11.28515625" style="1" customWidth="1"/>
    <col min="4" max="4" width="11.7109375" style="1" bestFit="1" customWidth="1"/>
    <col min="5" max="5" width="11.5703125" style="1" customWidth="1"/>
    <col min="6" max="6" width="15.140625" style="1" customWidth="1"/>
    <col min="7" max="7" width="12.7109375" style="1" customWidth="1"/>
    <col min="8" max="8" width="15.7109375" style="1" customWidth="1"/>
    <col min="9" max="9" width="14.28515625" style="1" customWidth="1"/>
    <col min="10" max="10" width="11.85546875" style="1" customWidth="1"/>
    <col min="11" max="11" width="15.5703125" style="1" customWidth="1"/>
    <col min="12" max="12" width="16.28515625" style="1" customWidth="1"/>
    <col min="13" max="13" width="16.140625" style="1" customWidth="1"/>
    <col min="14" max="15" width="14.28515625" style="1" customWidth="1"/>
    <col min="16" max="16" width="14.140625" style="1" customWidth="1"/>
    <col min="17" max="17" width="19.42578125" style="1" customWidth="1"/>
    <col min="18" max="18" width="23" style="1" customWidth="1"/>
    <col min="19" max="19" width="13.7109375" style="1" customWidth="1"/>
    <col min="20" max="20" width="8.85546875" style="1"/>
    <col min="21" max="21" width="3.42578125" style="1" bestFit="1" customWidth="1"/>
    <col min="22" max="16384" width="8.85546875" style="1"/>
  </cols>
  <sheetData>
    <row r="1" spans="1:18" x14ac:dyDescent="0.2">
      <c r="P1" s="252"/>
      <c r="Q1" s="252"/>
      <c r="R1" s="252"/>
    </row>
    <row r="2" spans="1:18" x14ac:dyDescent="0.2">
      <c r="P2" s="252"/>
      <c r="Q2" s="252"/>
      <c r="R2" s="252"/>
    </row>
    <row r="3" spans="1:18" x14ac:dyDescent="0.2">
      <c r="P3" s="252"/>
      <c r="Q3" s="252"/>
      <c r="R3" s="252"/>
    </row>
    <row r="4" spans="1:18" x14ac:dyDescent="0.2">
      <c r="P4" s="252"/>
      <c r="Q4" s="252"/>
      <c r="R4" s="252"/>
    </row>
    <row r="5" spans="1:18" x14ac:dyDescent="0.2">
      <c r="D5" s="1" t="s">
        <v>0</v>
      </c>
      <c r="P5" s="252"/>
      <c r="Q5" s="252"/>
      <c r="R5" s="252"/>
    </row>
    <row r="6" spans="1:18" x14ac:dyDescent="0.2">
      <c r="G6" s="2"/>
      <c r="P6" s="252"/>
      <c r="Q6" s="252"/>
      <c r="R6" s="252"/>
    </row>
    <row r="7" spans="1:18" x14ac:dyDescent="0.2">
      <c r="H7" s="2"/>
      <c r="P7" s="252"/>
      <c r="Q7" s="252"/>
      <c r="R7" s="252"/>
    </row>
    <row r="8" spans="1:18" ht="21.75" customHeight="1" x14ac:dyDescent="0.2">
      <c r="P8" s="252"/>
      <c r="Q8" s="252"/>
      <c r="R8" s="252"/>
    </row>
    <row r="10" spans="1:18" ht="33" customHeight="1" thickBot="1" x14ac:dyDescent="0.25">
      <c r="A10" s="253" t="s">
        <v>213</v>
      </c>
      <c r="B10" s="253"/>
      <c r="C10" s="254"/>
      <c r="D10" s="254"/>
      <c r="E10" s="254"/>
      <c r="F10" s="254"/>
      <c r="G10" s="254"/>
      <c r="H10" s="254"/>
      <c r="I10" s="254"/>
      <c r="J10" s="254"/>
      <c r="K10" s="254"/>
      <c r="L10" s="254"/>
      <c r="M10" s="254"/>
      <c r="N10" s="254"/>
      <c r="O10" s="254"/>
      <c r="P10" s="254"/>
      <c r="Q10" s="254"/>
      <c r="R10" s="254"/>
    </row>
    <row r="11" spans="1:18" ht="23.45" customHeight="1" thickTop="1" x14ac:dyDescent="0.2">
      <c r="A11" s="255" t="s">
        <v>1</v>
      </c>
      <c r="B11" s="249" t="s">
        <v>196</v>
      </c>
      <c r="C11" s="257" t="s">
        <v>2</v>
      </c>
      <c r="D11" s="259" t="s">
        <v>3</v>
      </c>
      <c r="E11" s="259"/>
      <c r="F11" s="259"/>
      <c r="G11" s="259"/>
      <c r="H11" s="259"/>
      <c r="I11" s="259" t="s">
        <v>4</v>
      </c>
      <c r="J11" s="259"/>
      <c r="K11" s="259"/>
      <c r="L11" s="260" t="s">
        <v>5</v>
      </c>
      <c r="M11" s="260" t="s">
        <v>6</v>
      </c>
      <c r="N11" s="260" t="s">
        <v>7</v>
      </c>
      <c r="O11" s="264" t="s">
        <v>189</v>
      </c>
      <c r="P11" s="260" t="s">
        <v>8</v>
      </c>
      <c r="Q11" s="260" t="s">
        <v>9</v>
      </c>
      <c r="R11" s="262" t="s">
        <v>10</v>
      </c>
    </row>
    <row r="12" spans="1:18" ht="71.45" customHeight="1" x14ac:dyDescent="0.2">
      <c r="A12" s="256"/>
      <c r="B12" s="250"/>
      <c r="C12" s="258"/>
      <c r="D12" s="267" t="s">
        <v>11</v>
      </c>
      <c r="E12" s="268" t="s">
        <v>148</v>
      </c>
      <c r="F12" s="234" t="s">
        <v>168</v>
      </c>
      <c r="G12" s="118" t="s">
        <v>12</v>
      </c>
      <c r="H12" s="261" t="s">
        <v>13</v>
      </c>
      <c r="I12" s="261" t="s">
        <v>14</v>
      </c>
      <c r="J12" s="261" t="s">
        <v>15</v>
      </c>
      <c r="K12" s="261" t="s">
        <v>16</v>
      </c>
      <c r="L12" s="261"/>
      <c r="M12" s="261"/>
      <c r="N12" s="261"/>
      <c r="O12" s="265"/>
      <c r="P12" s="261"/>
      <c r="Q12" s="261"/>
      <c r="R12" s="263"/>
    </row>
    <row r="13" spans="1:18" ht="21.6" customHeight="1" x14ac:dyDescent="0.2">
      <c r="A13" s="256"/>
      <c r="B13" s="251"/>
      <c r="C13" s="258"/>
      <c r="D13" s="267"/>
      <c r="E13" s="265"/>
      <c r="F13" s="235"/>
      <c r="G13" s="119">
        <f>'Encargos Sociais'!D36</f>
        <v>0.71694999999999998</v>
      </c>
      <c r="H13" s="261"/>
      <c r="I13" s="261"/>
      <c r="J13" s="261"/>
      <c r="K13" s="261"/>
      <c r="L13" s="261"/>
      <c r="M13" s="119">
        <f>'Encargos Sociais'!K14</f>
        <v>0.31020408163265345</v>
      </c>
      <c r="N13" s="261"/>
      <c r="O13" s="155">
        <v>12</v>
      </c>
      <c r="P13" s="261"/>
      <c r="Q13" s="261"/>
      <c r="R13" s="263"/>
    </row>
    <row r="14" spans="1:18" s="5" customFormat="1" ht="43.15" customHeight="1" x14ac:dyDescent="0.2">
      <c r="A14" s="269" t="s">
        <v>201</v>
      </c>
      <c r="B14" s="304" t="s">
        <v>202</v>
      </c>
      <c r="C14" s="120" t="s">
        <v>151</v>
      </c>
      <c r="D14" s="6">
        <f>1543.91</f>
        <v>1543.91</v>
      </c>
      <c r="E14" s="6">
        <v>0</v>
      </c>
      <c r="F14" s="6">
        <f>D14+E14</f>
        <v>1543.91</v>
      </c>
      <c r="G14" s="3">
        <f>ROUNDUP((F14*$G$13),2)</f>
        <v>1106.9100000000001</v>
      </c>
      <c r="H14" s="3">
        <f>D14+E14+G14</f>
        <v>2650.82</v>
      </c>
      <c r="I14" s="3">
        <f>'AA AT HORAS'!U15</f>
        <v>772.66666666666663</v>
      </c>
      <c r="J14" s="3">
        <f>'AA AT HORAS'!M39</f>
        <v>131.03206666666665</v>
      </c>
      <c r="K14" s="3">
        <f t="shared" ref="K14:K16" si="0">I14+J14</f>
        <v>903.69873333333328</v>
      </c>
      <c r="L14" s="3">
        <f t="shared" ref="L14:L16" si="1">H14+K14</f>
        <v>3554.5187333333333</v>
      </c>
      <c r="M14" s="3">
        <f t="shared" ref="M14:M16" si="2">L14*$M$13</f>
        <v>1102.6262193197292</v>
      </c>
      <c r="N14" s="3">
        <f>ROUNDUP((L14+M14),2)</f>
        <v>4657.1500000000005</v>
      </c>
      <c r="O14" s="3">
        <f>N14*$O$13</f>
        <v>55885.8</v>
      </c>
      <c r="P14" s="4">
        <v>12</v>
      </c>
      <c r="Q14" s="129">
        <f>N14*P14</f>
        <v>55885.8</v>
      </c>
      <c r="R14" s="128">
        <f>Q14*$O$13</f>
        <v>670629.60000000009</v>
      </c>
    </row>
    <row r="15" spans="1:18" s="5" customFormat="1" ht="43.15" customHeight="1" x14ac:dyDescent="0.2">
      <c r="A15" s="270"/>
      <c r="B15" s="305"/>
      <c r="C15" s="120" t="s">
        <v>150</v>
      </c>
      <c r="D15" s="6">
        <f>1543.91</f>
        <v>1543.91</v>
      </c>
      <c r="E15" s="6">
        <v>0</v>
      </c>
      <c r="F15" s="6">
        <f>D15+E15</f>
        <v>1543.91</v>
      </c>
      <c r="G15" s="3">
        <f>ROUNDUP((F15*$G$13),2)</f>
        <v>1106.9100000000001</v>
      </c>
      <c r="H15" s="3">
        <f t="shared" ref="H15:H16" si="3">D15+E15+G15</f>
        <v>2650.82</v>
      </c>
      <c r="I15" s="3">
        <f>'AA AT HORAS'!U17</f>
        <v>576.33333333333337</v>
      </c>
      <c r="J15" s="3">
        <f>'AA AT HORAS'!M40</f>
        <v>74.198733333333323</v>
      </c>
      <c r="K15" s="3">
        <f t="shared" ref="K15" si="4">I15+J15</f>
        <v>650.53206666666665</v>
      </c>
      <c r="L15" s="3">
        <f t="shared" ref="L15" si="5">H15+K15</f>
        <v>3301.3520666666668</v>
      </c>
      <c r="M15" s="3">
        <f t="shared" ref="M15" si="6">L15*$M$13</f>
        <v>1024.0928859863959</v>
      </c>
      <c r="N15" s="3">
        <f>ROUNDUP((L15+M15),2)</f>
        <v>4325.45</v>
      </c>
      <c r="O15" s="3">
        <f t="shared" ref="O15:O16" si="7">N15*$O$13</f>
        <v>51905.399999999994</v>
      </c>
      <c r="P15" s="4">
        <v>6</v>
      </c>
      <c r="Q15" s="129">
        <f>N15*P15</f>
        <v>25952.699999999997</v>
      </c>
      <c r="R15" s="128">
        <f t="shared" ref="R15:R16" si="8">Q15*$O$13</f>
        <v>311432.39999999997</v>
      </c>
    </row>
    <row r="16" spans="1:18" s="5" customFormat="1" ht="43.15" customHeight="1" x14ac:dyDescent="0.2">
      <c r="A16" s="271"/>
      <c r="B16" s="306"/>
      <c r="C16" s="120" t="s">
        <v>149</v>
      </c>
      <c r="D16" s="6">
        <f>1543.91</f>
        <v>1543.91</v>
      </c>
      <c r="E16" s="6">
        <f>'AA AT HORAS'!U38</f>
        <v>189.47986363636363</v>
      </c>
      <c r="F16" s="6">
        <f>D16+E16</f>
        <v>1733.3898636363638</v>
      </c>
      <c r="G16" s="3">
        <f>ROUNDUP((F16*$G$13),2)</f>
        <v>1242.76</v>
      </c>
      <c r="H16" s="3">
        <f t="shared" si="3"/>
        <v>2976.149863636364</v>
      </c>
      <c r="I16" s="41">
        <f>'AA AT HORAS'!U17</f>
        <v>576.33333333333337</v>
      </c>
      <c r="J16" s="41">
        <f>'AA AT HORAS'!M41</f>
        <v>74.198733333333323</v>
      </c>
      <c r="K16" s="3">
        <f t="shared" si="0"/>
        <v>650.53206666666665</v>
      </c>
      <c r="L16" s="3">
        <f t="shared" si="1"/>
        <v>3626.6819303030306</v>
      </c>
      <c r="M16" s="3">
        <f t="shared" si="2"/>
        <v>1125.0115375633904</v>
      </c>
      <c r="N16" s="3">
        <f>ROUNDUP((L16+M16),2)</f>
        <v>4751.7</v>
      </c>
      <c r="O16" s="3">
        <f t="shared" si="7"/>
        <v>57020.399999999994</v>
      </c>
      <c r="P16" s="4">
        <v>2</v>
      </c>
      <c r="Q16" s="129">
        <f>N16*P16</f>
        <v>9503.4</v>
      </c>
      <c r="R16" s="128">
        <f t="shared" si="8"/>
        <v>114040.79999999999</v>
      </c>
    </row>
    <row r="17" spans="1:18" s="8" customFormat="1" ht="24.75" customHeight="1" x14ac:dyDescent="0.25">
      <c r="A17" s="307" t="s">
        <v>17</v>
      </c>
      <c r="B17" s="308"/>
      <c r="C17" s="266"/>
      <c r="D17" s="266"/>
      <c r="E17" s="266"/>
      <c r="F17" s="266"/>
      <c r="G17" s="266"/>
      <c r="H17" s="7">
        <f>SUM(H14:H16)</f>
        <v>8277.7898636363643</v>
      </c>
      <c r="I17" s="266"/>
      <c r="J17" s="266"/>
      <c r="K17" s="7">
        <f>SUM(K14:K16)</f>
        <v>2204.7628666666665</v>
      </c>
      <c r="L17" s="7">
        <f>SUM(L14:L16)</f>
        <v>10482.552730303032</v>
      </c>
      <c r="M17" s="291"/>
      <c r="N17" s="292"/>
      <c r="O17" s="293"/>
      <c r="P17" s="156">
        <v>20</v>
      </c>
      <c r="Q17" s="191">
        <f>SUM(Q14:Q16)</f>
        <v>91341.9</v>
      </c>
      <c r="R17" s="192">
        <f>SUM(R14:R16)</f>
        <v>1096102.8</v>
      </c>
    </row>
    <row r="18" spans="1:18" s="17" customFormat="1" ht="21.75" customHeight="1" x14ac:dyDescent="0.25">
      <c r="A18" s="276" t="s">
        <v>203</v>
      </c>
      <c r="B18" s="277"/>
      <c r="C18" s="277"/>
      <c r="D18" s="277"/>
      <c r="E18" s="277"/>
      <c r="F18" s="277"/>
      <c r="G18" s="277"/>
      <c r="H18" s="277"/>
      <c r="I18" s="277"/>
      <c r="J18" s="277"/>
      <c r="K18" s="277"/>
      <c r="L18" s="277"/>
      <c r="M18" s="277"/>
      <c r="N18" s="278"/>
      <c r="O18" s="193" t="s">
        <v>18</v>
      </c>
      <c r="P18" s="193" t="s">
        <v>19</v>
      </c>
      <c r="Q18" s="194" t="s">
        <v>20</v>
      </c>
      <c r="R18" s="195" t="s">
        <v>21</v>
      </c>
    </row>
    <row r="19" spans="1:18" ht="19.5" customHeight="1" thickBot="1" x14ac:dyDescent="0.25">
      <c r="A19" s="279"/>
      <c r="B19" s="280"/>
      <c r="C19" s="280"/>
      <c r="D19" s="280"/>
      <c r="E19" s="280"/>
      <c r="F19" s="280"/>
      <c r="G19" s="280"/>
      <c r="H19" s="280"/>
      <c r="I19" s="280"/>
      <c r="J19" s="280"/>
      <c r="K19" s="280"/>
      <c r="L19" s="280"/>
      <c r="M19" s="280"/>
      <c r="N19" s="281"/>
      <c r="O19" s="10">
        <f>P17</f>
        <v>20</v>
      </c>
      <c r="P19" s="39">
        <v>169.67</v>
      </c>
      <c r="Q19" s="40">
        <f>O19*P19</f>
        <v>3393.3999999999996</v>
      </c>
      <c r="R19" s="236">
        <f>Q19*O13</f>
        <v>40720.799999999996</v>
      </c>
    </row>
    <row r="20" spans="1:18" s="17" customFormat="1" ht="22.5" customHeight="1" thickTop="1" x14ac:dyDescent="0.25">
      <c r="A20" s="282" t="s">
        <v>204</v>
      </c>
      <c r="B20" s="283"/>
      <c r="C20" s="283"/>
      <c r="D20" s="283"/>
      <c r="E20" s="283"/>
      <c r="F20" s="283"/>
      <c r="G20" s="283"/>
      <c r="H20" s="283"/>
      <c r="I20" s="283"/>
      <c r="J20" s="283"/>
      <c r="K20" s="283"/>
      <c r="L20" s="283"/>
      <c r="M20" s="283"/>
      <c r="N20" s="284"/>
      <c r="O20" s="14" t="s">
        <v>18</v>
      </c>
      <c r="P20" s="14" t="s">
        <v>19</v>
      </c>
      <c r="Q20" s="15" t="s">
        <v>20</v>
      </c>
      <c r="R20" s="16" t="s">
        <v>21</v>
      </c>
    </row>
    <row r="21" spans="1:18" ht="19.5" customHeight="1" thickBot="1" x14ac:dyDescent="0.25">
      <c r="A21" s="285"/>
      <c r="B21" s="286"/>
      <c r="C21" s="286"/>
      <c r="D21" s="286"/>
      <c r="E21" s="286"/>
      <c r="F21" s="286"/>
      <c r="G21" s="286"/>
      <c r="H21" s="286"/>
      <c r="I21" s="286"/>
      <c r="J21" s="286"/>
      <c r="K21" s="286"/>
      <c r="L21" s="286"/>
      <c r="M21" s="286"/>
      <c r="N21" s="287"/>
      <c r="O21" s="18">
        <f>P17</f>
        <v>20</v>
      </c>
      <c r="P21" s="39">
        <v>11.27</v>
      </c>
      <c r="Q21" s="40">
        <f>O21*P21</f>
        <v>225.39999999999998</v>
      </c>
      <c r="R21" s="236">
        <f>Q21*O13</f>
        <v>2704.7999999999997</v>
      </c>
    </row>
    <row r="22" spans="1:18" s="9" customFormat="1" ht="22.5" customHeight="1" thickTop="1" x14ac:dyDescent="0.25">
      <c r="A22" s="294" t="s">
        <v>205</v>
      </c>
      <c r="B22" s="295"/>
      <c r="C22" s="295"/>
      <c r="D22" s="295"/>
      <c r="E22" s="295"/>
      <c r="F22" s="295"/>
      <c r="G22" s="295"/>
      <c r="H22" s="295"/>
      <c r="I22" s="295"/>
      <c r="J22" s="295"/>
      <c r="K22" s="295"/>
      <c r="L22" s="295"/>
      <c r="M22" s="295"/>
      <c r="N22" s="296"/>
      <c r="O22" s="11" t="s">
        <v>18</v>
      </c>
      <c r="P22" s="11" t="s">
        <v>19</v>
      </c>
      <c r="Q22" s="12" t="s">
        <v>20</v>
      </c>
      <c r="R22" s="13" t="s">
        <v>21</v>
      </c>
    </row>
    <row r="23" spans="1:18" s="9" customFormat="1" ht="18.75" customHeight="1" thickBot="1" x14ac:dyDescent="0.3">
      <c r="A23" s="279"/>
      <c r="B23" s="280"/>
      <c r="C23" s="280"/>
      <c r="D23" s="280"/>
      <c r="E23" s="280"/>
      <c r="F23" s="280"/>
      <c r="G23" s="280"/>
      <c r="H23" s="280"/>
      <c r="I23" s="280"/>
      <c r="J23" s="280"/>
      <c r="K23" s="280"/>
      <c r="L23" s="280"/>
      <c r="M23" s="280"/>
      <c r="N23" s="281"/>
      <c r="O23" s="10">
        <f>P17</f>
        <v>20</v>
      </c>
      <c r="P23" s="39">
        <v>2.5</v>
      </c>
      <c r="Q23" s="40">
        <f>O23*P23</f>
        <v>50</v>
      </c>
      <c r="R23" s="236">
        <f>Q23*O13</f>
        <v>600</v>
      </c>
    </row>
    <row r="24" spans="1:18" s="198" customFormat="1" ht="27.75" customHeight="1" thickTop="1" x14ac:dyDescent="0.2">
      <c r="A24" s="297" t="s">
        <v>212</v>
      </c>
      <c r="B24" s="298"/>
      <c r="C24" s="298"/>
      <c r="D24" s="298"/>
      <c r="E24" s="298"/>
      <c r="F24" s="298"/>
      <c r="G24" s="298"/>
      <c r="H24" s="298"/>
      <c r="I24" s="298"/>
      <c r="J24" s="298"/>
      <c r="K24" s="298"/>
      <c r="L24" s="298"/>
      <c r="M24" s="298"/>
      <c r="N24" s="299"/>
      <c r="O24" s="197" t="s">
        <v>181</v>
      </c>
      <c r="P24" s="197" t="s">
        <v>182</v>
      </c>
      <c r="Q24" s="199" t="s">
        <v>20</v>
      </c>
      <c r="R24" s="200" t="s">
        <v>21</v>
      </c>
    </row>
    <row r="25" spans="1:18" s="198" customFormat="1" ht="19.5" customHeight="1" thickBot="1" x14ac:dyDescent="0.25">
      <c r="A25" s="300"/>
      <c r="B25" s="301"/>
      <c r="C25" s="301"/>
      <c r="D25" s="301"/>
      <c r="E25" s="301"/>
      <c r="F25" s="301"/>
      <c r="G25" s="301"/>
      <c r="H25" s="301"/>
      <c r="I25" s="301"/>
      <c r="J25" s="301"/>
      <c r="K25" s="301"/>
      <c r="L25" s="301"/>
      <c r="M25" s="301"/>
      <c r="N25" s="302"/>
      <c r="O25" s="229">
        <f>'Anx II-A Uniforme'!E12</f>
        <v>3394</v>
      </c>
      <c r="P25" s="201">
        <f>'Anx II-A Uniforme'!E21</f>
        <v>3319</v>
      </c>
      <c r="Q25" s="40">
        <f>R25/O13</f>
        <v>5656.666666666667</v>
      </c>
      <c r="R25" s="115">
        <f>'Anx II-A Uniforme'!F12</f>
        <v>67880</v>
      </c>
    </row>
    <row r="26" spans="1:18" s="198" customFormat="1" ht="22.5" customHeight="1" thickTop="1" x14ac:dyDescent="0.2">
      <c r="A26" s="303" t="s">
        <v>210</v>
      </c>
      <c r="B26" s="298"/>
      <c r="C26" s="298"/>
      <c r="D26" s="298"/>
      <c r="E26" s="298"/>
      <c r="F26" s="298"/>
      <c r="G26" s="298"/>
      <c r="H26" s="298"/>
      <c r="I26" s="298"/>
      <c r="J26" s="298"/>
      <c r="K26" s="298"/>
      <c r="L26" s="298"/>
      <c r="M26" s="298"/>
      <c r="N26" s="298"/>
      <c r="O26" s="298"/>
      <c r="P26" s="299"/>
      <c r="Q26" s="12" t="s">
        <v>20</v>
      </c>
      <c r="R26" s="13" t="s">
        <v>21</v>
      </c>
    </row>
    <row r="27" spans="1:18" s="198" customFormat="1" ht="19.5" customHeight="1" thickBot="1" x14ac:dyDescent="0.25">
      <c r="A27" s="300"/>
      <c r="B27" s="301"/>
      <c r="C27" s="301"/>
      <c r="D27" s="301"/>
      <c r="E27" s="301"/>
      <c r="F27" s="301"/>
      <c r="G27" s="301"/>
      <c r="H27" s="301"/>
      <c r="I27" s="301"/>
      <c r="J27" s="301"/>
      <c r="K27" s="301"/>
      <c r="L27" s="301"/>
      <c r="M27" s="301"/>
      <c r="N27" s="301"/>
      <c r="O27" s="301"/>
      <c r="P27" s="302"/>
      <c r="Q27" s="40">
        <f>R27/O13</f>
        <v>248.30000000000004</v>
      </c>
      <c r="R27" s="236">
        <f>'Anx II-C Mat. e Equip.'!F10</f>
        <v>2979.6000000000004</v>
      </c>
    </row>
    <row r="28" spans="1:18" s="198" customFormat="1" ht="22.5" customHeight="1" thickTop="1" x14ac:dyDescent="0.2">
      <c r="A28" s="303" t="s">
        <v>211</v>
      </c>
      <c r="B28" s="298"/>
      <c r="C28" s="298"/>
      <c r="D28" s="298"/>
      <c r="E28" s="298"/>
      <c r="F28" s="298"/>
      <c r="G28" s="298"/>
      <c r="H28" s="298"/>
      <c r="I28" s="298"/>
      <c r="J28" s="298"/>
      <c r="K28" s="298"/>
      <c r="L28" s="298"/>
      <c r="M28" s="298"/>
      <c r="N28" s="298"/>
      <c r="O28" s="298"/>
      <c r="P28" s="299"/>
      <c r="Q28" s="12" t="s">
        <v>20</v>
      </c>
      <c r="R28" s="13" t="s">
        <v>21</v>
      </c>
    </row>
    <row r="29" spans="1:18" s="198" customFormat="1" ht="19.5" customHeight="1" thickBot="1" x14ac:dyDescent="0.25">
      <c r="A29" s="300"/>
      <c r="B29" s="301"/>
      <c r="C29" s="301"/>
      <c r="D29" s="301"/>
      <c r="E29" s="301"/>
      <c r="F29" s="301"/>
      <c r="G29" s="301"/>
      <c r="H29" s="301"/>
      <c r="I29" s="301"/>
      <c r="J29" s="301"/>
      <c r="K29" s="301"/>
      <c r="L29" s="301"/>
      <c r="M29" s="301"/>
      <c r="N29" s="301"/>
      <c r="O29" s="301"/>
      <c r="P29" s="302"/>
      <c r="Q29" s="227">
        <f>R29/O13</f>
        <v>1979.1666666666667</v>
      </c>
      <c r="R29" s="115">
        <f>'Anx II-D Equip. Detreciáveis'!I9</f>
        <v>23750</v>
      </c>
    </row>
    <row r="30" spans="1:18" ht="26.25" customHeight="1" thickTop="1" x14ac:dyDescent="0.2">
      <c r="A30" s="288" t="s">
        <v>206</v>
      </c>
      <c r="B30" s="289"/>
      <c r="C30" s="289"/>
      <c r="D30" s="289"/>
      <c r="E30" s="289"/>
      <c r="F30" s="289"/>
      <c r="G30" s="289"/>
      <c r="H30" s="289"/>
      <c r="I30" s="289"/>
      <c r="J30" s="289"/>
      <c r="K30" s="289"/>
      <c r="L30" s="289"/>
      <c r="M30" s="289"/>
      <c r="N30" s="289"/>
      <c r="O30" s="289"/>
      <c r="P30" s="290"/>
      <c r="Q30" s="114">
        <f>SUM(Q19:Q29)</f>
        <v>11552.933333333332</v>
      </c>
      <c r="R30" s="115">
        <f>SUM(R19:R29)</f>
        <v>138635.20000000001</v>
      </c>
    </row>
    <row r="31" spans="1:18" ht="33.75" customHeight="1" thickBot="1" x14ac:dyDescent="0.25">
      <c r="A31" s="272" t="s">
        <v>207</v>
      </c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4"/>
      <c r="Q31" s="122">
        <f>ROUNDUP((Q17+Q30),2)</f>
        <v>102894.84</v>
      </c>
      <c r="R31" s="121">
        <f>ROUNDUP((R17+R30),2)</f>
        <v>1234738</v>
      </c>
    </row>
    <row r="32" spans="1:18" ht="15" thickTop="1" x14ac:dyDescent="0.2">
      <c r="P32" s="5"/>
      <c r="Q32" s="5"/>
      <c r="R32" s="19"/>
    </row>
    <row r="33" spans="11:18" x14ac:dyDescent="0.2">
      <c r="P33" s="5"/>
      <c r="Q33" s="5"/>
      <c r="R33" s="5"/>
    </row>
    <row r="34" spans="11:18" x14ac:dyDescent="0.2">
      <c r="P34" s="20" t="s">
        <v>22</v>
      </c>
      <c r="Q34" s="19">
        <f>0.05*R31</f>
        <v>61736.9</v>
      </c>
      <c r="R34" s="5"/>
    </row>
    <row r="35" spans="11:18" ht="15" x14ac:dyDescent="0.2">
      <c r="K35" s="21"/>
      <c r="P35" s="5"/>
      <c r="Q35" s="5"/>
      <c r="R35" s="5"/>
    </row>
    <row r="36" spans="11:18" ht="15" x14ac:dyDescent="0.2">
      <c r="K36" s="21"/>
      <c r="P36" s="5"/>
      <c r="Q36" s="5"/>
      <c r="R36" s="5"/>
    </row>
    <row r="37" spans="11:18" x14ac:dyDescent="0.2">
      <c r="K37" s="22"/>
      <c r="P37" s="5"/>
      <c r="Q37" s="275"/>
      <c r="R37" s="275"/>
    </row>
    <row r="38" spans="11:18" x14ac:dyDescent="0.2">
      <c r="K38" s="22"/>
      <c r="P38" s="5"/>
      <c r="Q38" s="5"/>
      <c r="R38" s="5"/>
    </row>
    <row r="39" spans="11:18" x14ac:dyDescent="0.2">
      <c r="K39" s="22"/>
      <c r="P39" s="5"/>
      <c r="Q39" s="5"/>
      <c r="R39" s="5"/>
    </row>
    <row r="40" spans="11:18" ht="15" x14ac:dyDescent="0.2">
      <c r="K40" s="23"/>
      <c r="P40" s="5"/>
      <c r="Q40" s="5"/>
      <c r="R40" s="5"/>
    </row>
    <row r="41" spans="11:18" x14ac:dyDescent="0.2">
      <c r="K41" s="22"/>
      <c r="P41" s="5"/>
      <c r="Q41" s="5"/>
      <c r="R41" s="5"/>
    </row>
  </sheetData>
  <mergeCells count="35">
    <mergeCell ref="A14:A16"/>
    <mergeCell ref="A31:P31"/>
    <mergeCell ref="Q37:R37"/>
    <mergeCell ref="A18:N19"/>
    <mergeCell ref="A20:N21"/>
    <mergeCell ref="A30:P30"/>
    <mergeCell ref="M17:O17"/>
    <mergeCell ref="A22:N23"/>
    <mergeCell ref="A24:N25"/>
    <mergeCell ref="A26:P27"/>
    <mergeCell ref="A28:P29"/>
    <mergeCell ref="B14:B16"/>
    <mergeCell ref="A17:B17"/>
    <mergeCell ref="J12:J13"/>
    <mergeCell ref="K12:K13"/>
    <mergeCell ref="C17:G17"/>
    <mergeCell ref="I17:J17"/>
    <mergeCell ref="D12:D13"/>
    <mergeCell ref="E12:E13"/>
    <mergeCell ref="B11:B13"/>
    <mergeCell ref="P1:R8"/>
    <mergeCell ref="A10:R10"/>
    <mergeCell ref="A11:A13"/>
    <mergeCell ref="C11:C13"/>
    <mergeCell ref="D11:H11"/>
    <mergeCell ref="I11:K11"/>
    <mergeCell ref="L11:L13"/>
    <mergeCell ref="M11:M12"/>
    <mergeCell ref="N11:N13"/>
    <mergeCell ref="P11:P13"/>
    <mergeCell ref="Q11:Q13"/>
    <mergeCell ref="R11:R13"/>
    <mergeCell ref="O11:O12"/>
    <mergeCell ref="H12:H13"/>
    <mergeCell ref="I12:I13"/>
  </mergeCells>
  <printOptions horizontalCentered="1"/>
  <pageMargins left="0.25" right="0.25" top="0.75" bottom="0.75" header="0.3" footer="0.3"/>
  <pageSetup paperSize="9" scale="48" fitToHeight="0" orientation="landscape" r:id="rId1"/>
  <headerFooter>
    <oddHeader>&amp;C&amp;"English111 Vivace BT,Regular"&amp;36Supremo Tribunal Federal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1C1A3"/>
    <pageSetUpPr fitToPage="1"/>
  </sheetPr>
  <dimension ref="A1:U49"/>
  <sheetViews>
    <sheetView topLeftCell="C9" zoomScale="90" zoomScaleNormal="90" zoomScaleSheetLayoutView="100" workbookViewId="0">
      <selection activeCell="D10" sqref="D10:D11"/>
    </sheetView>
  </sheetViews>
  <sheetFormatPr defaultColWidth="8.85546875" defaultRowHeight="14.25" x14ac:dyDescent="0.2"/>
  <cols>
    <col min="1" max="3" width="8.85546875" style="1"/>
    <col min="4" max="4" width="15.28515625" style="1" customWidth="1"/>
    <col min="5" max="6" width="12.42578125" style="1" customWidth="1"/>
    <col min="7" max="7" width="14.140625" style="1" customWidth="1"/>
    <col min="8" max="8" width="15.28515625" style="1" customWidth="1"/>
    <col min="9" max="9" width="12.42578125" style="1" customWidth="1"/>
    <col min="10" max="10" width="22.28515625" style="1" customWidth="1"/>
    <col min="11" max="11" width="16.28515625" style="1" customWidth="1"/>
    <col min="12" max="12" width="14.7109375" style="1" customWidth="1"/>
    <col min="13" max="13" width="15.42578125" style="1" customWidth="1"/>
    <col min="14" max="14" width="3.28515625" style="1" customWidth="1"/>
    <col min="15" max="15" width="3.140625" style="1" customWidth="1"/>
    <col min="16" max="16" width="33.85546875" style="1" customWidth="1"/>
    <col min="17" max="17" width="18.85546875" style="1" customWidth="1"/>
    <col min="18" max="18" width="21.28515625" style="1" customWidth="1"/>
    <col min="19" max="19" width="8.85546875" style="1"/>
    <col min="20" max="20" width="14.28515625" style="1" customWidth="1"/>
    <col min="21" max="21" width="13.5703125" style="1" customWidth="1"/>
    <col min="22" max="16384" width="8.85546875" style="1"/>
  </cols>
  <sheetData>
    <row r="1" spans="1:21" x14ac:dyDescent="0.2">
      <c r="J1" s="341"/>
      <c r="K1" s="252"/>
      <c r="L1" s="252"/>
      <c r="M1" s="252"/>
    </row>
    <row r="2" spans="1:21" x14ac:dyDescent="0.2">
      <c r="J2" s="252"/>
      <c r="K2" s="252"/>
      <c r="L2" s="252"/>
      <c r="M2" s="252"/>
    </row>
    <row r="3" spans="1:21" x14ac:dyDescent="0.2">
      <c r="J3" s="252"/>
      <c r="K3" s="252"/>
      <c r="L3" s="252"/>
      <c r="M3" s="252"/>
    </row>
    <row r="4" spans="1:21" x14ac:dyDescent="0.2">
      <c r="J4" s="252"/>
      <c r="K4" s="252"/>
      <c r="L4" s="252"/>
      <c r="M4" s="252"/>
    </row>
    <row r="5" spans="1:21" x14ac:dyDescent="0.2">
      <c r="J5" s="252"/>
      <c r="K5" s="252"/>
      <c r="L5" s="252"/>
      <c r="M5" s="252"/>
    </row>
    <row r="6" spans="1:21" x14ac:dyDescent="0.2">
      <c r="J6" s="252"/>
      <c r="K6" s="252"/>
      <c r="L6" s="252"/>
      <c r="M6" s="252"/>
    </row>
    <row r="7" spans="1:21" ht="39.75" customHeight="1" x14ac:dyDescent="0.2">
      <c r="J7" s="252"/>
      <c r="K7" s="252"/>
      <c r="L7" s="252"/>
      <c r="M7" s="252"/>
    </row>
    <row r="8" spans="1:21" ht="38.25" customHeight="1" x14ac:dyDescent="0.2"/>
    <row r="9" spans="1:21" ht="24" customHeight="1" thickBot="1" x14ac:dyDescent="0.3">
      <c r="D9" s="349" t="s">
        <v>152</v>
      </c>
      <c r="E9" s="349"/>
      <c r="F9" s="349"/>
      <c r="G9" s="349"/>
      <c r="H9" s="349"/>
      <c r="I9" s="349"/>
      <c r="J9" s="349"/>
      <c r="K9" s="166"/>
      <c r="L9" s="24"/>
      <c r="M9" s="24"/>
    </row>
    <row r="10" spans="1:21" ht="48" customHeight="1" thickTop="1" x14ac:dyDescent="0.25">
      <c r="D10" s="345" t="s">
        <v>23</v>
      </c>
      <c r="E10" s="344" t="s">
        <v>24</v>
      </c>
      <c r="F10" s="344"/>
      <c r="G10" s="344"/>
      <c r="H10" s="344"/>
      <c r="I10" s="347" t="s">
        <v>25</v>
      </c>
      <c r="J10" s="176" t="s">
        <v>154</v>
      </c>
      <c r="K10" s="177"/>
      <c r="L10" s="24"/>
      <c r="M10" s="24"/>
    </row>
    <row r="11" spans="1:21" ht="55.9" customHeight="1" thickBot="1" x14ac:dyDescent="0.3">
      <c r="A11" s="25"/>
      <c r="D11" s="346"/>
      <c r="E11" s="157" t="s">
        <v>26</v>
      </c>
      <c r="F11" s="157" t="s">
        <v>27</v>
      </c>
      <c r="G11" s="157" t="s">
        <v>28</v>
      </c>
      <c r="H11" s="157" t="s">
        <v>29</v>
      </c>
      <c r="I11" s="348"/>
      <c r="J11" s="167" t="s">
        <v>153</v>
      </c>
      <c r="K11" s="162"/>
      <c r="N11" s="336" t="s">
        <v>48</v>
      </c>
      <c r="O11" s="336"/>
      <c r="P11" s="336"/>
      <c r="Q11" s="336"/>
      <c r="R11" s="336"/>
      <c r="S11" s="336"/>
      <c r="T11" s="336"/>
      <c r="U11" s="336"/>
    </row>
    <row r="12" spans="1:21" ht="26.25" thickTop="1" x14ac:dyDescent="0.2">
      <c r="D12" s="168">
        <v>44835</v>
      </c>
      <c r="E12" s="112">
        <v>16</v>
      </c>
      <c r="F12" s="112">
        <v>3</v>
      </c>
      <c r="G12" s="112">
        <v>5</v>
      </c>
      <c r="H12" s="112">
        <v>6</v>
      </c>
      <c r="I12" s="112">
        <v>1</v>
      </c>
      <c r="J12" s="169">
        <v>168</v>
      </c>
      <c r="K12" s="163"/>
      <c r="N12" s="331" t="s">
        <v>34</v>
      </c>
      <c r="O12" s="318"/>
      <c r="P12" s="318"/>
      <c r="Q12" s="358" t="s">
        <v>49</v>
      </c>
      <c r="R12" s="32" t="s">
        <v>50</v>
      </c>
      <c r="S12" s="358" t="s">
        <v>51</v>
      </c>
      <c r="T12" s="358" t="s">
        <v>52</v>
      </c>
      <c r="U12" s="320" t="s">
        <v>53</v>
      </c>
    </row>
    <row r="13" spans="1:21" ht="15" customHeight="1" x14ac:dyDescent="0.2">
      <c r="D13" s="168">
        <v>44866</v>
      </c>
      <c r="E13" s="112">
        <v>15</v>
      </c>
      <c r="F13" s="112">
        <v>4</v>
      </c>
      <c r="G13" s="112">
        <v>4</v>
      </c>
      <c r="H13" s="112">
        <v>6</v>
      </c>
      <c r="I13" s="112">
        <v>1</v>
      </c>
      <c r="J13" s="169">
        <v>167</v>
      </c>
      <c r="K13" s="163"/>
      <c r="N13" s="271"/>
      <c r="O13" s="340"/>
      <c r="P13" s="340"/>
      <c r="Q13" s="339"/>
      <c r="R13" s="329">
        <v>0</v>
      </c>
      <c r="S13" s="339"/>
      <c r="T13" s="339"/>
      <c r="U13" s="359"/>
    </row>
    <row r="14" spans="1:21" ht="15" x14ac:dyDescent="0.2">
      <c r="D14" s="168">
        <v>44896</v>
      </c>
      <c r="E14" s="112">
        <v>16</v>
      </c>
      <c r="F14" s="112">
        <v>5</v>
      </c>
      <c r="G14" s="112">
        <v>5</v>
      </c>
      <c r="H14" s="112">
        <v>4</v>
      </c>
      <c r="I14" s="112">
        <v>1</v>
      </c>
      <c r="J14" s="169">
        <v>184</v>
      </c>
      <c r="K14" s="163"/>
      <c r="N14" s="271"/>
      <c r="O14" s="340"/>
      <c r="P14" s="340"/>
      <c r="Q14" s="339"/>
      <c r="R14" s="330"/>
      <c r="S14" s="339"/>
      <c r="T14" s="339"/>
      <c r="U14" s="359"/>
    </row>
    <row r="15" spans="1:21" ht="15" x14ac:dyDescent="0.2">
      <c r="D15" s="168">
        <v>44927</v>
      </c>
      <c r="E15" s="112">
        <v>18</v>
      </c>
      <c r="F15" s="112">
        <v>4</v>
      </c>
      <c r="G15" s="112">
        <v>4</v>
      </c>
      <c r="H15" s="112">
        <v>5</v>
      </c>
      <c r="I15" s="112">
        <v>0</v>
      </c>
      <c r="J15" s="169">
        <v>194</v>
      </c>
      <c r="K15" s="163"/>
      <c r="N15" s="353" t="str">
        <f>$D$32</f>
        <v>Agente de Portaria - 44hs</v>
      </c>
      <c r="O15" s="354"/>
      <c r="P15" s="355"/>
      <c r="Q15" s="239">
        <v>38</v>
      </c>
      <c r="R15" s="239">
        <f>(Q15)-(Q15*$R$13)</f>
        <v>38</v>
      </c>
      <c r="S15" s="26">
        <f>$E$25</f>
        <v>244</v>
      </c>
      <c r="T15" s="230">
        <f t="shared" ref="T15:T17" si="0">R15*S15</f>
        <v>9272</v>
      </c>
      <c r="U15" s="241">
        <f t="shared" ref="U15" si="1">T15/12</f>
        <v>772.66666666666663</v>
      </c>
    </row>
    <row r="16" spans="1:21" ht="15" x14ac:dyDescent="0.2">
      <c r="D16" s="168">
        <v>44958</v>
      </c>
      <c r="E16" s="112">
        <v>14</v>
      </c>
      <c r="F16" s="112">
        <v>4</v>
      </c>
      <c r="G16" s="112">
        <v>4</v>
      </c>
      <c r="H16" s="112">
        <v>5</v>
      </c>
      <c r="I16" s="112">
        <v>1</v>
      </c>
      <c r="J16" s="169">
        <v>158</v>
      </c>
      <c r="K16" s="163"/>
      <c r="N16" s="353" t="str">
        <f>$D$33</f>
        <v>Agente de Portaria - 12x36hs - diurno</v>
      </c>
      <c r="O16" s="354"/>
      <c r="P16" s="355"/>
      <c r="Q16" s="239">
        <v>38</v>
      </c>
      <c r="R16" s="239">
        <f>(Q16)-(Q16*$R$13)</f>
        <v>38</v>
      </c>
      <c r="S16" s="150">
        <f>R44</f>
        <v>182</v>
      </c>
      <c r="T16" s="230">
        <f t="shared" ref="T16" si="2">R16*S16</f>
        <v>6916</v>
      </c>
      <c r="U16" s="241">
        <f t="shared" ref="U16" si="3">T16/12</f>
        <v>576.33333333333337</v>
      </c>
    </row>
    <row r="17" spans="4:21" ht="15" customHeight="1" thickBot="1" x14ac:dyDescent="0.25">
      <c r="D17" s="168">
        <v>44986</v>
      </c>
      <c r="E17" s="117">
        <v>18</v>
      </c>
      <c r="F17" s="113">
        <v>5</v>
      </c>
      <c r="G17" s="113">
        <v>4</v>
      </c>
      <c r="H17" s="113">
        <v>4</v>
      </c>
      <c r="I17" s="113">
        <v>0</v>
      </c>
      <c r="J17" s="170">
        <v>202</v>
      </c>
      <c r="K17" s="164"/>
      <c r="N17" s="356" t="str">
        <f>$D$34</f>
        <v>Agente de Portaria 12x36hs - noturno</v>
      </c>
      <c r="O17" s="357"/>
      <c r="P17" s="357"/>
      <c r="Q17" s="240">
        <v>38</v>
      </c>
      <c r="R17" s="240">
        <f>((Q17)-(Q17*$R$13))</f>
        <v>38</v>
      </c>
      <c r="S17" s="149">
        <f>R44</f>
        <v>182</v>
      </c>
      <c r="T17" s="231">
        <f t="shared" si="0"/>
        <v>6916</v>
      </c>
      <c r="U17" s="242">
        <f>T17/12</f>
        <v>576.33333333333337</v>
      </c>
    </row>
    <row r="18" spans="4:21" ht="15.75" thickTop="1" x14ac:dyDescent="0.2">
      <c r="D18" s="168">
        <v>45017</v>
      </c>
      <c r="E18" s="113">
        <v>14</v>
      </c>
      <c r="F18" s="113">
        <v>2</v>
      </c>
      <c r="G18" s="113">
        <v>5</v>
      </c>
      <c r="H18" s="113">
        <v>7</v>
      </c>
      <c r="I18" s="113">
        <v>2</v>
      </c>
      <c r="J18" s="170">
        <v>142</v>
      </c>
      <c r="K18" s="164"/>
    </row>
    <row r="19" spans="4:21" ht="15" x14ac:dyDescent="0.2">
      <c r="D19" s="168">
        <v>45047</v>
      </c>
      <c r="E19" s="113">
        <v>18</v>
      </c>
      <c r="F19" s="113">
        <v>4</v>
      </c>
      <c r="G19" s="113">
        <v>4</v>
      </c>
      <c r="H19" s="113">
        <v>5</v>
      </c>
      <c r="I19" s="113">
        <v>0</v>
      </c>
      <c r="J19" s="170">
        <v>194</v>
      </c>
      <c r="K19" s="164"/>
    </row>
    <row r="20" spans="4:21" ht="15" x14ac:dyDescent="0.2">
      <c r="D20" s="168">
        <v>45078</v>
      </c>
      <c r="E20" s="113">
        <v>16</v>
      </c>
      <c r="F20" s="113">
        <v>5</v>
      </c>
      <c r="G20" s="113">
        <v>4</v>
      </c>
      <c r="H20" s="113">
        <v>5</v>
      </c>
      <c r="I20" s="113">
        <v>0</v>
      </c>
      <c r="J20" s="170">
        <v>184</v>
      </c>
      <c r="K20" s="164"/>
    </row>
    <row r="21" spans="4:21" ht="15" x14ac:dyDescent="0.2">
      <c r="D21" s="168">
        <v>45108</v>
      </c>
      <c r="E21" s="113">
        <v>17</v>
      </c>
      <c r="F21" s="113">
        <v>4</v>
      </c>
      <c r="G21" s="113">
        <v>5</v>
      </c>
      <c r="H21" s="113">
        <v>5</v>
      </c>
      <c r="I21" s="113">
        <v>0</v>
      </c>
      <c r="J21" s="170">
        <v>185</v>
      </c>
      <c r="K21" s="164"/>
    </row>
    <row r="22" spans="4:21" ht="15" x14ac:dyDescent="0.2">
      <c r="D22" s="168">
        <v>45139</v>
      </c>
      <c r="E22" s="113">
        <v>19</v>
      </c>
      <c r="F22" s="113">
        <v>3</v>
      </c>
      <c r="G22" s="113">
        <v>4</v>
      </c>
      <c r="H22" s="113">
        <v>4</v>
      </c>
      <c r="I22" s="113">
        <v>1</v>
      </c>
      <c r="J22" s="170">
        <v>195</v>
      </c>
      <c r="K22" s="164"/>
    </row>
    <row r="23" spans="4:21" ht="15" x14ac:dyDescent="0.2">
      <c r="D23" s="168">
        <v>45170</v>
      </c>
      <c r="E23" s="113">
        <v>15</v>
      </c>
      <c r="F23" s="113">
        <v>5</v>
      </c>
      <c r="G23" s="113">
        <v>5</v>
      </c>
      <c r="H23" s="113">
        <v>5</v>
      </c>
      <c r="I23" s="113">
        <v>0</v>
      </c>
      <c r="J23" s="170">
        <v>175</v>
      </c>
      <c r="K23" s="164"/>
    </row>
    <row r="24" spans="4:21" ht="15" x14ac:dyDescent="0.25">
      <c r="D24" s="171"/>
      <c r="E24" s="172">
        <f>SUM(E12:E23)</f>
        <v>196</v>
      </c>
      <c r="F24" s="172">
        <f>SUM(F12:F23)</f>
        <v>48</v>
      </c>
      <c r="G24" s="172">
        <f>SUM(G12:G23)</f>
        <v>53</v>
      </c>
      <c r="H24" s="172">
        <f>SUM(H12:H23)</f>
        <v>61</v>
      </c>
      <c r="I24" s="165"/>
      <c r="J24" s="173"/>
      <c r="K24" s="165"/>
    </row>
    <row r="25" spans="4:21" ht="15" x14ac:dyDescent="0.2">
      <c r="D25" s="174" t="s">
        <v>30</v>
      </c>
      <c r="E25" s="342">
        <f>SUM(E24:F24)</f>
        <v>244</v>
      </c>
      <c r="F25" s="342"/>
      <c r="G25" s="343"/>
      <c r="H25" s="343"/>
      <c r="I25" s="165"/>
      <c r="J25" s="173"/>
      <c r="K25" s="165"/>
    </row>
    <row r="26" spans="4:21" ht="20.25" customHeight="1" thickBot="1" x14ac:dyDescent="0.25">
      <c r="D26" s="337" t="s">
        <v>31</v>
      </c>
      <c r="E26" s="338"/>
      <c r="F26" s="338"/>
      <c r="G26" s="338"/>
      <c r="H26" s="338"/>
      <c r="I26" s="338"/>
      <c r="J26" s="175">
        <f>SUM(J12:J23)</f>
        <v>2148</v>
      </c>
      <c r="K26" s="163"/>
    </row>
    <row r="27" spans="4:21" ht="15.75" thickTop="1" x14ac:dyDescent="0.2">
      <c r="D27" s="27"/>
      <c r="E27" s="27"/>
      <c r="F27" s="27"/>
      <c r="G27" s="27"/>
      <c r="H27" s="27"/>
      <c r="I27" s="27"/>
      <c r="J27" s="27"/>
      <c r="K27" s="27"/>
      <c r="L27" s="27"/>
      <c r="M27" s="27"/>
    </row>
    <row r="28" spans="4:21" ht="16.149999999999999" customHeight="1" thickBot="1" x14ac:dyDescent="0.3">
      <c r="D28" s="336" t="s">
        <v>32</v>
      </c>
      <c r="E28" s="336"/>
      <c r="F28" s="336"/>
      <c r="G28" s="336"/>
      <c r="H28" s="336"/>
      <c r="I28" s="336"/>
      <c r="J28" s="336"/>
      <c r="K28" s="336"/>
      <c r="L28" s="336"/>
      <c r="M28" s="336"/>
      <c r="P28" s="363" t="s">
        <v>33</v>
      </c>
      <c r="Q28" s="363"/>
      <c r="R28" s="363"/>
      <c r="S28" s="363"/>
      <c r="T28" s="363"/>
    </row>
    <row r="29" spans="4:21" ht="13.9" customHeight="1" thickTop="1" x14ac:dyDescent="0.2">
      <c r="D29" s="331" t="s">
        <v>34</v>
      </c>
      <c r="E29" s="318"/>
      <c r="F29" s="318"/>
      <c r="G29" s="318" t="s">
        <v>11</v>
      </c>
      <c r="H29" s="318" t="s">
        <v>35</v>
      </c>
      <c r="I29" s="318" t="s">
        <v>36</v>
      </c>
      <c r="J29" s="318" t="s">
        <v>163</v>
      </c>
      <c r="K29" s="28">
        <v>0.06</v>
      </c>
      <c r="L29" s="318" t="s">
        <v>37</v>
      </c>
      <c r="M29" s="320" t="s">
        <v>38</v>
      </c>
      <c r="P29" s="364" t="s">
        <v>39</v>
      </c>
      <c r="Q29" s="365"/>
      <c r="R29" s="350" t="str">
        <f>'Planilha de custos'!N11</f>
        <v>Total unitário mensal do posto de trabalho</v>
      </c>
      <c r="S29" s="350" t="s">
        <v>40</v>
      </c>
      <c r="T29" s="368" t="s">
        <v>41</v>
      </c>
    </row>
    <row r="30" spans="4:21" x14ac:dyDescent="0.2">
      <c r="D30" s="332"/>
      <c r="E30" s="319"/>
      <c r="F30" s="319"/>
      <c r="G30" s="319"/>
      <c r="H30" s="319"/>
      <c r="I30" s="319"/>
      <c r="J30" s="319"/>
      <c r="K30" s="339" t="s">
        <v>42</v>
      </c>
      <c r="L30" s="319"/>
      <c r="M30" s="321"/>
      <c r="P30" s="366"/>
      <c r="Q30" s="367"/>
      <c r="R30" s="351"/>
      <c r="S30" s="351"/>
      <c r="T30" s="369"/>
    </row>
    <row r="31" spans="4:21" ht="18" customHeight="1" x14ac:dyDescent="0.2">
      <c r="D31" s="332"/>
      <c r="E31" s="319"/>
      <c r="F31" s="319"/>
      <c r="G31" s="319"/>
      <c r="H31" s="319"/>
      <c r="I31" s="319"/>
      <c r="J31" s="319"/>
      <c r="K31" s="340"/>
      <c r="L31" s="319"/>
      <c r="M31" s="321"/>
      <c r="P31" s="333" t="s">
        <v>198</v>
      </c>
      <c r="Q31" s="116" t="s">
        <v>151</v>
      </c>
      <c r="R31" s="230">
        <f>'Planilha de custos'!N14</f>
        <v>4657.1500000000005</v>
      </c>
      <c r="S31" s="360">
        <v>220</v>
      </c>
      <c r="T31" s="160">
        <f t="shared" ref="T31" si="4">R31/S31</f>
        <v>21.168863636363639</v>
      </c>
    </row>
    <row r="32" spans="4:21" ht="16.5" customHeight="1" x14ac:dyDescent="0.2">
      <c r="D32" s="315" t="s">
        <v>164</v>
      </c>
      <c r="E32" s="316"/>
      <c r="F32" s="317"/>
      <c r="G32" s="230">
        <f>'Planilha de custos'!D14</f>
        <v>1543.91</v>
      </c>
      <c r="H32" s="230">
        <f t="shared" ref="H32" si="5">G32*12</f>
        <v>18526.920000000002</v>
      </c>
      <c r="I32" s="26">
        <f>$E$25</f>
        <v>244</v>
      </c>
      <c r="J32" s="230">
        <f t="shared" ref="J32" si="6">H32/I32</f>
        <v>75.930000000000007</v>
      </c>
      <c r="K32" s="230">
        <f t="shared" ref="K32" si="7">J32*$K$29</f>
        <v>4.5558000000000005</v>
      </c>
      <c r="L32" s="26">
        <f>$E$25</f>
        <v>244</v>
      </c>
      <c r="M32" s="237">
        <f>K32*L32</f>
        <v>1111.6152000000002</v>
      </c>
      <c r="P32" s="334"/>
      <c r="Q32" s="158" t="s">
        <v>150</v>
      </c>
      <c r="R32" s="230">
        <f>'Planilha de custos'!N15</f>
        <v>4325.45</v>
      </c>
      <c r="S32" s="361"/>
      <c r="T32" s="160">
        <f>R32/S31</f>
        <v>19.661136363636363</v>
      </c>
    </row>
    <row r="33" spans="4:21" ht="17.25" customHeight="1" thickBot="1" x14ac:dyDescent="0.25">
      <c r="D33" s="315" t="s">
        <v>165</v>
      </c>
      <c r="E33" s="316"/>
      <c r="F33" s="317"/>
      <c r="G33" s="230">
        <f>'Planilha de custos'!D15</f>
        <v>1543.91</v>
      </c>
      <c r="H33" s="230">
        <f t="shared" ref="H33" si="8">G33*12</f>
        <v>18526.920000000002</v>
      </c>
      <c r="I33" s="26">
        <f>R44</f>
        <v>182</v>
      </c>
      <c r="J33" s="230">
        <f t="shared" ref="J33" si="9">H33/I33</f>
        <v>101.79626373626375</v>
      </c>
      <c r="K33" s="230">
        <f t="shared" ref="K33" si="10">J33*$K$29</f>
        <v>6.1077758241758247</v>
      </c>
      <c r="L33" s="26">
        <f>R44</f>
        <v>182</v>
      </c>
      <c r="M33" s="237">
        <f>K33*L33</f>
        <v>1111.6152000000002</v>
      </c>
      <c r="P33" s="335"/>
      <c r="Q33" s="159" t="s">
        <v>149</v>
      </c>
      <c r="R33" s="231">
        <f>'Planilha de custos'!N16</f>
        <v>4751.7</v>
      </c>
      <c r="S33" s="362"/>
      <c r="T33" s="161">
        <f>R33/S31</f>
        <v>21.598636363636363</v>
      </c>
    </row>
    <row r="34" spans="4:21" ht="19.5" customHeight="1" thickTop="1" thickBot="1" x14ac:dyDescent="0.25">
      <c r="D34" s="312" t="s">
        <v>166</v>
      </c>
      <c r="E34" s="313"/>
      <c r="F34" s="314"/>
      <c r="G34" s="231">
        <f>'Planilha de custos'!D16</f>
        <v>1543.91</v>
      </c>
      <c r="H34" s="231">
        <f t="shared" ref="H34" si="11">G34*12</f>
        <v>18526.920000000002</v>
      </c>
      <c r="I34" s="149">
        <f>R44</f>
        <v>182</v>
      </c>
      <c r="J34" s="231">
        <f t="shared" ref="J34" si="12">H34/I34</f>
        <v>101.79626373626375</v>
      </c>
      <c r="K34" s="231">
        <f t="shared" ref="K34" si="13">J34*$K$29</f>
        <v>6.1077758241758247</v>
      </c>
      <c r="L34" s="149">
        <f>R44</f>
        <v>182</v>
      </c>
      <c r="M34" s="238">
        <f>K34*L34</f>
        <v>1111.6152000000002</v>
      </c>
      <c r="R34" s="5"/>
      <c r="S34" s="5"/>
      <c r="T34" s="5"/>
    </row>
    <row r="35" spans="4:21" ht="14.25" customHeight="1" thickTop="1" x14ac:dyDescent="0.2">
      <c r="D35" s="162"/>
      <c r="E35" s="162"/>
      <c r="F35" s="162"/>
      <c r="G35" s="180"/>
      <c r="H35" s="181"/>
      <c r="I35" s="182"/>
      <c r="J35" s="181"/>
      <c r="K35" s="181"/>
      <c r="L35" s="182"/>
      <c r="M35" s="181"/>
      <c r="R35" s="5"/>
      <c r="S35" s="5"/>
      <c r="T35" s="5"/>
    </row>
    <row r="36" spans="4:21" ht="15" customHeight="1" thickBot="1" x14ac:dyDescent="0.3">
      <c r="G36" s="29"/>
      <c r="H36" s="29"/>
      <c r="I36" s="29"/>
      <c r="J36" s="29"/>
      <c r="K36" s="29"/>
      <c r="L36" s="29"/>
      <c r="M36" s="30"/>
      <c r="P36" s="352" t="s">
        <v>199</v>
      </c>
      <c r="Q36" s="352"/>
      <c r="R36" s="352"/>
      <c r="S36" s="352"/>
      <c r="T36" s="352"/>
      <c r="U36" s="352"/>
    </row>
    <row r="37" spans="4:21" ht="51.75" thickTop="1" x14ac:dyDescent="0.2">
      <c r="D37" s="331" t="s">
        <v>34</v>
      </c>
      <c r="E37" s="318"/>
      <c r="F37" s="318"/>
      <c r="G37" s="318" t="s">
        <v>43</v>
      </c>
      <c r="H37" s="318" t="s">
        <v>44</v>
      </c>
      <c r="I37" s="318" t="s">
        <v>36</v>
      </c>
      <c r="J37" s="318" t="s">
        <v>45</v>
      </c>
      <c r="K37" s="318" t="s">
        <v>38</v>
      </c>
      <c r="L37" s="318" t="s">
        <v>46</v>
      </c>
      <c r="M37" s="320" t="s">
        <v>47</v>
      </c>
      <c r="P37" s="183" t="s">
        <v>167</v>
      </c>
      <c r="Q37" s="184" t="s">
        <v>11</v>
      </c>
      <c r="R37" s="184" t="s">
        <v>172</v>
      </c>
      <c r="S37" s="184" t="s">
        <v>169</v>
      </c>
      <c r="T37" s="185" t="s">
        <v>170</v>
      </c>
      <c r="U37" s="186" t="s">
        <v>171</v>
      </c>
    </row>
    <row r="38" spans="4:21" ht="15.75" customHeight="1" thickBot="1" x14ac:dyDescent="0.25">
      <c r="D38" s="332"/>
      <c r="E38" s="319"/>
      <c r="F38" s="319"/>
      <c r="G38" s="319"/>
      <c r="H38" s="319"/>
      <c r="I38" s="319"/>
      <c r="J38" s="319"/>
      <c r="K38" s="319"/>
      <c r="L38" s="319"/>
      <c r="M38" s="321"/>
      <c r="P38" s="187" t="str">
        <f>D34</f>
        <v>Agente de Portaria 12x36hs - noturno</v>
      </c>
      <c r="Q38" s="188">
        <f>'Planilha de custos'!D16</f>
        <v>1543.91</v>
      </c>
      <c r="R38" s="196">
        <v>0.22500000000000001</v>
      </c>
      <c r="S38" s="189">
        <v>8</v>
      </c>
      <c r="T38" s="190">
        <v>15</v>
      </c>
      <c r="U38" s="213">
        <f>((Q38/220)*R38)*S38*T38</f>
        <v>189.47986363636363</v>
      </c>
    </row>
    <row r="39" spans="4:21" ht="15.75" thickTop="1" x14ac:dyDescent="0.2">
      <c r="D39" s="315" t="str">
        <f>$D$32</f>
        <v>Agente de Portaria - 44hs</v>
      </c>
      <c r="E39" s="316"/>
      <c r="F39" s="317"/>
      <c r="G39" s="230">
        <v>5.5</v>
      </c>
      <c r="H39" s="26">
        <v>2</v>
      </c>
      <c r="I39" s="26">
        <f>$E$25</f>
        <v>244</v>
      </c>
      <c r="J39" s="230">
        <f t="shared" ref="J39" si="14">G39*H39*I39</f>
        <v>2684</v>
      </c>
      <c r="K39" s="230">
        <f>M32</f>
        <v>1111.6152000000002</v>
      </c>
      <c r="L39" s="230">
        <f t="shared" ref="L39:L41" si="15">IF(J39-K39&lt;=0,0,J39-K39)</f>
        <v>1572.3847999999998</v>
      </c>
      <c r="M39" s="241">
        <f t="shared" ref="M39" si="16">L39/12</f>
        <v>131.03206666666665</v>
      </c>
    </row>
    <row r="40" spans="4:21" ht="14.25" customHeight="1" x14ac:dyDescent="0.2">
      <c r="D40" s="315" t="str">
        <f>$D$33</f>
        <v>Agente de Portaria - 12x36hs - diurno</v>
      </c>
      <c r="E40" s="316"/>
      <c r="F40" s="317"/>
      <c r="G40" s="230">
        <v>5.5</v>
      </c>
      <c r="H40" s="26">
        <v>2</v>
      </c>
      <c r="I40" s="26">
        <f>R44</f>
        <v>182</v>
      </c>
      <c r="J40" s="230">
        <f t="shared" ref="J40" si="17">G40*H40*I40</f>
        <v>2002</v>
      </c>
      <c r="K40" s="230">
        <f>M33</f>
        <v>1111.6152000000002</v>
      </c>
      <c r="L40" s="230">
        <f t="shared" ref="L40" si="18">IF(J40-K40&lt;=0,0,J40-K40)</f>
        <v>890.38479999999981</v>
      </c>
      <c r="M40" s="241">
        <f t="shared" ref="M40" si="19">L40/12</f>
        <v>74.198733333333323</v>
      </c>
    </row>
    <row r="41" spans="4:21" ht="14.25" customHeight="1" thickBot="1" x14ac:dyDescent="0.25">
      <c r="D41" s="312" t="str">
        <f>$D$34</f>
        <v>Agente de Portaria 12x36hs - noturno</v>
      </c>
      <c r="E41" s="313"/>
      <c r="F41" s="314"/>
      <c r="G41" s="231">
        <v>5.5</v>
      </c>
      <c r="H41" s="149">
        <v>2</v>
      </c>
      <c r="I41" s="149">
        <f>R44</f>
        <v>182</v>
      </c>
      <c r="J41" s="231">
        <f t="shared" ref="J41" si="20">G41*H41*I41</f>
        <v>2002</v>
      </c>
      <c r="K41" s="231">
        <f>M34</f>
        <v>1111.6152000000002</v>
      </c>
      <c r="L41" s="231">
        <f t="shared" si="15"/>
        <v>890.38479999999981</v>
      </c>
      <c r="M41" s="242">
        <f t="shared" ref="M41" si="21">L41/12</f>
        <v>74.198733333333323</v>
      </c>
    </row>
    <row r="42" spans="4:21" ht="14.25" customHeight="1" thickTop="1" thickBot="1" x14ac:dyDescent="0.25"/>
    <row r="43" spans="4:21" ht="15" customHeight="1" thickTop="1" x14ac:dyDescent="0.2">
      <c r="L43" s="31"/>
      <c r="M43" s="31"/>
      <c r="P43" s="322" t="s">
        <v>155</v>
      </c>
      <c r="Q43" s="323"/>
      <c r="R43" s="324"/>
    </row>
    <row r="44" spans="4:21" ht="16.5" customHeight="1" x14ac:dyDescent="0.2">
      <c r="D44" s="179" t="s">
        <v>158</v>
      </c>
      <c r="P44" s="325" t="s">
        <v>156</v>
      </c>
      <c r="Q44" s="326"/>
      <c r="R44" s="212">
        <v>182</v>
      </c>
    </row>
    <row r="45" spans="4:21" ht="15.75" customHeight="1" thickBot="1" x14ac:dyDescent="0.25">
      <c r="D45" s="309" t="s">
        <v>159</v>
      </c>
      <c r="E45" s="309"/>
      <c r="F45" s="309"/>
      <c r="G45" s="309"/>
      <c r="H45" s="309"/>
      <c r="I45" s="309"/>
      <c r="J45" s="309"/>
      <c r="K45" s="309"/>
      <c r="L45" s="309"/>
      <c r="M45" s="309"/>
      <c r="P45" s="327" t="s">
        <v>157</v>
      </c>
      <c r="Q45" s="328"/>
      <c r="R45" s="178">
        <v>2184</v>
      </c>
    </row>
    <row r="46" spans="4:21" ht="28.5" customHeight="1" thickTop="1" x14ac:dyDescent="0.2">
      <c r="D46" s="310" t="s">
        <v>160</v>
      </c>
      <c r="E46" s="310"/>
      <c r="F46" s="310"/>
      <c r="G46" s="310"/>
      <c r="H46" s="310"/>
      <c r="I46" s="310"/>
      <c r="J46" s="310"/>
      <c r="K46" s="310"/>
      <c r="L46" s="310"/>
      <c r="M46" s="310"/>
    </row>
    <row r="47" spans="4:21" ht="27" customHeight="1" x14ac:dyDescent="0.2">
      <c r="D47" s="310" t="s">
        <v>161</v>
      </c>
      <c r="E47" s="310"/>
      <c r="F47" s="310"/>
      <c r="G47" s="310"/>
      <c r="H47" s="310"/>
      <c r="I47" s="310"/>
      <c r="J47" s="310"/>
      <c r="K47" s="310"/>
      <c r="L47" s="310"/>
      <c r="M47" s="310"/>
    </row>
    <row r="48" spans="4:21" ht="36" customHeight="1" x14ac:dyDescent="0.2">
      <c r="D48" s="311" t="s">
        <v>162</v>
      </c>
      <c r="E48" s="311"/>
      <c r="F48" s="311"/>
      <c r="G48" s="311"/>
      <c r="H48" s="311"/>
      <c r="I48" s="311"/>
      <c r="J48" s="311"/>
      <c r="K48" s="311"/>
      <c r="L48" s="311"/>
      <c r="M48" s="311"/>
    </row>
    <row r="49" ht="28.5" customHeight="1" x14ac:dyDescent="0.2"/>
  </sheetData>
  <mergeCells count="56">
    <mergeCell ref="P36:U36"/>
    <mergeCell ref="L29:L31"/>
    <mergeCell ref="N15:P15"/>
    <mergeCell ref="N17:P17"/>
    <mergeCell ref="N11:U11"/>
    <mergeCell ref="N12:P14"/>
    <mergeCell ref="Q12:Q14"/>
    <mergeCell ref="S12:S14"/>
    <mergeCell ref="T12:T14"/>
    <mergeCell ref="U12:U14"/>
    <mergeCell ref="N16:P16"/>
    <mergeCell ref="S31:S33"/>
    <mergeCell ref="P28:T28"/>
    <mergeCell ref="P29:Q30"/>
    <mergeCell ref="T29:T30"/>
    <mergeCell ref="R29:R30"/>
    <mergeCell ref="S29:S30"/>
    <mergeCell ref="D29:F31"/>
    <mergeCell ref="G29:G31"/>
    <mergeCell ref="H29:H31"/>
    <mergeCell ref="I29:I31"/>
    <mergeCell ref="J29:J31"/>
    <mergeCell ref="J1:M7"/>
    <mergeCell ref="E25:F25"/>
    <mergeCell ref="G25:H25"/>
    <mergeCell ref="E10:H10"/>
    <mergeCell ref="D10:D11"/>
    <mergeCell ref="I10:I11"/>
    <mergeCell ref="D9:J9"/>
    <mergeCell ref="P43:R43"/>
    <mergeCell ref="P44:Q44"/>
    <mergeCell ref="P45:Q45"/>
    <mergeCell ref="R13:R14"/>
    <mergeCell ref="D32:F32"/>
    <mergeCell ref="D33:F33"/>
    <mergeCell ref="D34:F34"/>
    <mergeCell ref="D39:F39"/>
    <mergeCell ref="D37:F38"/>
    <mergeCell ref="G37:G38"/>
    <mergeCell ref="H37:H38"/>
    <mergeCell ref="P31:P33"/>
    <mergeCell ref="D28:M28"/>
    <mergeCell ref="D26:I26"/>
    <mergeCell ref="M29:M31"/>
    <mergeCell ref="K30:K31"/>
    <mergeCell ref="D40:F40"/>
    <mergeCell ref="L37:L38"/>
    <mergeCell ref="M37:M38"/>
    <mergeCell ref="I37:I38"/>
    <mergeCell ref="J37:J38"/>
    <mergeCell ref="K37:K38"/>
    <mergeCell ref="D45:M45"/>
    <mergeCell ref="D46:M46"/>
    <mergeCell ref="D47:M47"/>
    <mergeCell ref="D48:M48"/>
    <mergeCell ref="D41:F4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51" orientation="portrait" r:id="rId1"/>
  <headerFooter>
    <oddHeader>&amp;C&amp;"English111 Vivace BT,Regular"&amp;36Supremo Tribunal Federal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/>
    <pageSetUpPr fitToPage="1"/>
  </sheetPr>
  <dimension ref="A1:N53"/>
  <sheetViews>
    <sheetView showGridLines="0" zoomScaleNormal="100" zoomScaleSheetLayoutView="100" workbookViewId="0">
      <selection activeCell="B4" sqref="B4:B5"/>
    </sheetView>
  </sheetViews>
  <sheetFormatPr defaultColWidth="8.85546875" defaultRowHeight="12.75" customHeight="1" x14ac:dyDescent="0.25"/>
  <cols>
    <col min="1" max="1" width="9.140625" style="45" customWidth="1"/>
    <col min="2" max="2" width="9.42578125" style="45" customWidth="1"/>
    <col min="3" max="3" width="69.85546875" style="45" customWidth="1"/>
    <col min="4" max="4" width="11.42578125" style="45" customWidth="1"/>
    <col min="5" max="5" width="12.140625" style="45" customWidth="1"/>
    <col min="6" max="6" width="4.140625" style="45" customWidth="1"/>
    <col min="7" max="7" width="42.140625" style="45" customWidth="1"/>
    <col min="8" max="8" width="15.42578125" style="45" customWidth="1"/>
    <col min="9" max="9" width="9.140625" style="45" customWidth="1"/>
    <col min="10" max="11" width="14.42578125" style="45" customWidth="1"/>
    <col min="12" max="13" width="9.140625" style="45" customWidth="1"/>
    <col min="14" max="14" width="10.85546875" style="45" customWidth="1"/>
    <col min="15" max="15" width="8.85546875" style="45" customWidth="1"/>
    <col min="16" max="16384" width="8.85546875" style="45"/>
  </cols>
  <sheetData>
    <row r="1" spans="1:14" ht="6.75" customHeight="1" x14ac:dyDescent="0.25">
      <c r="A1" s="42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17.25" customHeight="1" x14ac:dyDescent="0.25">
      <c r="A2" s="46"/>
      <c r="B2" s="375" t="s">
        <v>54</v>
      </c>
      <c r="C2" s="376"/>
      <c r="D2" s="376"/>
      <c r="E2" s="376"/>
      <c r="F2" s="47"/>
      <c r="G2" s="47"/>
      <c r="H2" s="47"/>
      <c r="I2" s="48"/>
      <c r="J2" s="48"/>
      <c r="K2" s="49"/>
      <c r="L2" s="49"/>
      <c r="M2" s="49"/>
      <c r="N2" s="50"/>
    </row>
    <row r="3" spans="1:14" ht="15.75" customHeight="1" x14ac:dyDescent="0.25">
      <c r="A3" s="46"/>
      <c r="B3" s="377" t="s">
        <v>55</v>
      </c>
      <c r="C3" s="378"/>
      <c r="D3" s="378"/>
      <c r="E3" s="378"/>
      <c r="F3" s="47"/>
      <c r="G3" s="377" t="s">
        <v>56</v>
      </c>
      <c r="H3" s="378"/>
      <c r="I3" s="378"/>
      <c r="J3" s="378"/>
      <c r="K3" s="378"/>
      <c r="L3" s="49"/>
      <c r="M3" s="49"/>
      <c r="N3" s="50"/>
    </row>
    <row r="4" spans="1:14" ht="40.5" customHeight="1" x14ac:dyDescent="0.25">
      <c r="A4" s="51"/>
      <c r="B4" s="379" t="s">
        <v>57</v>
      </c>
      <c r="C4" s="381" t="s">
        <v>58</v>
      </c>
      <c r="D4" s="381" t="s">
        <v>59</v>
      </c>
      <c r="E4" s="383"/>
      <c r="F4" s="52"/>
      <c r="G4" s="384" t="s">
        <v>60</v>
      </c>
      <c r="H4" s="385"/>
      <c r="I4" s="386"/>
      <c r="J4" s="390" t="s">
        <v>61</v>
      </c>
      <c r="K4" s="390" t="s">
        <v>62</v>
      </c>
      <c r="L4" s="53"/>
      <c r="M4" s="49"/>
      <c r="N4" s="50"/>
    </row>
    <row r="5" spans="1:14" ht="13.5" customHeight="1" thickBot="1" x14ac:dyDescent="0.3">
      <c r="A5" s="51"/>
      <c r="B5" s="380"/>
      <c r="C5" s="382"/>
      <c r="D5" s="100">
        <v>0.03</v>
      </c>
      <c r="E5" s="101">
        <v>2</v>
      </c>
      <c r="F5" s="52"/>
      <c r="G5" s="387"/>
      <c r="H5" s="388"/>
      <c r="I5" s="389"/>
      <c r="J5" s="391"/>
      <c r="K5" s="391"/>
      <c r="L5" s="53"/>
      <c r="M5" s="49"/>
      <c r="N5" s="50"/>
    </row>
    <row r="6" spans="1:14" ht="12.75" customHeight="1" x14ac:dyDescent="0.25">
      <c r="A6" s="51"/>
      <c r="B6" s="392" t="s">
        <v>63</v>
      </c>
      <c r="C6" s="393"/>
      <c r="D6" s="392" t="s">
        <v>64</v>
      </c>
      <c r="E6" s="393"/>
      <c r="F6" s="52"/>
      <c r="G6" s="394" t="s">
        <v>65</v>
      </c>
      <c r="H6" s="395"/>
      <c r="I6" s="396"/>
      <c r="J6" s="54" t="s">
        <v>64</v>
      </c>
      <c r="K6" s="54" t="s">
        <v>64</v>
      </c>
      <c r="L6" s="53"/>
      <c r="M6" s="49"/>
      <c r="N6" s="50"/>
    </row>
    <row r="7" spans="1:14" ht="12.75" customHeight="1" x14ac:dyDescent="0.25">
      <c r="A7" s="51"/>
      <c r="B7" s="55">
        <v>1</v>
      </c>
      <c r="C7" s="56" t="s">
        <v>66</v>
      </c>
      <c r="D7" s="372">
        <v>0.2</v>
      </c>
      <c r="E7" s="372"/>
      <c r="F7" s="52"/>
      <c r="G7" s="373" t="s">
        <v>67</v>
      </c>
      <c r="H7" s="374"/>
      <c r="I7" s="54" t="s">
        <v>68</v>
      </c>
      <c r="J7" s="57">
        <v>0.05</v>
      </c>
      <c r="K7" s="57">
        <v>0.05</v>
      </c>
      <c r="L7" s="53"/>
      <c r="M7" s="49"/>
      <c r="N7" s="50"/>
    </row>
    <row r="8" spans="1:14" ht="12.75" customHeight="1" x14ac:dyDescent="0.25">
      <c r="A8" s="51"/>
      <c r="B8" s="55">
        <v>2</v>
      </c>
      <c r="C8" s="56" t="s">
        <v>69</v>
      </c>
      <c r="D8" s="372">
        <v>1.4999999999999999E-2</v>
      </c>
      <c r="E8" s="372"/>
      <c r="F8" s="52"/>
      <c r="G8" s="373" t="s">
        <v>70</v>
      </c>
      <c r="H8" s="374"/>
      <c r="I8" s="54" t="s">
        <v>71</v>
      </c>
      <c r="J8" s="57">
        <v>7.0000000000000007E-2</v>
      </c>
      <c r="K8" s="57">
        <v>7.0000000000000007E-2</v>
      </c>
      <c r="L8" s="53"/>
      <c r="M8" s="49"/>
      <c r="N8" s="50"/>
    </row>
    <row r="9" spans="1:14" ht="12.75" customHeight="1" x14ac:dyDescent="0.25">
      <c r="A9" s="51"/>
      <c r="B9" s="55">
        <v>3</v>
      </c>
      <c r="C9" s="56" t="s">
        <v>72</v>
      </c>
      <c r="D9" s="372">
        <v>0.01</v>
      </c>
      <c r="E9" s="372"/>
      <c r="F9" s="52"/>
      <c r="G9" s="58" t="s">
        <v>73</v>
      </c>
      <c r="H9" s="59"/>
      <c r="I9" s="54" t="s">
        <v>74</v>
      </c>
      <c r="J9" s="57">
        <f>SUM(J10:J13)</f>
        <v>8.6500000000000007E-2</v>
      </c>
      <c r="K9" s="57">
        <f>SUM(K10:K13)</f>
        <v>0.14250000000000002</v>
      </c>
      <c r="L9" s="53"/>
      <c r="M9" s="49"/>
      <c r="N9" s="50"/>
    </row>
    <row r="10" spans="1:14" ht="12.75" customHeight="1" x14ac:dyDescent="0.25">
      <c r="A10" s="51"/>
      <c r="B10" s="55">
        <v>4</v>
      </c>
      <c r="C10" s="56" t="s">
        <v>75</v>
      </c>
      <c r="D10" s="372">
        <v>2E-3</v>
      </c>
      <c r="E10" s="372"/>
      <c r="F10" s="52"/>
      <c r="G10" s="53"/>
      <c r="H10" s="60"/>
      <c r="I10" s="54" t="s">
        <v>76</v>
      </c>
      <c r="J10" s="61">
        <v>0.05</v>
      </c>
      <c r="K10" s="61">
        <v>0.05</v>
      </c>
      <c r="L10" s="53"/>
      <c r="M10" s="49"/>
      <c r="N10" s="50"/>
    </row>
    <row r="11" spans="1:14" ht="12.75" customHeight="1" x14ac:dyDescent="0.25">
      <c r="A11" s="51"/>
      <c r="B11" s="55">
        <v>5</v>
      </c>
      <c r="C11" s="56" t="s">
        <v>77</v>
      </c>
      <c r="D11" s="372">
        <v>2.5000000000000001E-2</v>
      </c>
      <c r="E11" s="372"/>
      <c r="F11" s="52"/>
      <c r="G11" s="53"/>
      <c r="H11" s="60"/>
      <c r="I11" s="54" t="s">
        <v>78</v>
      </c>
      <c r="J11" s="61">
        <v>0.03</v>
      </c>
      <c r="K11" s="61">
        <v>7.5999999999999998E-2</v>
      </c>
      <c r="L11" s="53"/>
      <c r="M11" s="49"/>
      <c r="N11" s="50"/>
    </row>
    <row r="12" spans="1:14" ht="12.75" customHeight="1" x14ac:dyDescent="0.25">
      <c r="A12" s="51"/>
      <c r="B12" s="55">
        <v>6</v>
      </c>
      <c r="C12" s="56" t="s">
        <v>79</v>
      </c>
      <c r="D12" s="372">
        <v>0.08</v>
      </c>
      <c r="E12" s="372"/>
      <c r="F12" s="52"/>
      <c r="G12" s="53"/>
      <c r="H12" s="60"/>
      <c r="I12" s="54" t="s">
        <v>80</v>
      </c>
      <c r="J12" s="61">
        <v>6.4999999999999997E-3</v>
      </c>
      <c r="K12" s="61">
        <v>1.6500000000000001E-2</v>
      </c>
      <c r="L12" s="53"/>
      <c r="M12" s="49"/>
      <c r="N12" s="50"/>
    </row>
    <row r="13" spans="1:14" ht="12.75" customHeight="1" x14ac:dyDescent="0.25">
      <c r="A13" s="51"/>
      <c r="B13" s="55">
        <v>7</v>
      </c>
      <c r="C13" s="56" t="s">
        <v>81</v>
      </c>
      <c r="D13" s="372">
        <f>D5*E5</f>
        <v>0.06</v>
      </c>
      <c r="E13" s="372"/>
      <c r="F13" s="52"/>
      <c r="G13" s="62"/>
      <c r="H13" s="63"/>
      <c r="I13" s="54" t="s">
        <v>82</v>
      </c>
      <c r="J13" s="61">
        <v>0</v>
      </c>
      <c r="K13" s="61">
        <v>0</v>
      </c>
      <c r="L13" s="53"/>
      <c r="M13" s="49"/>
      <c r="N13" s="50"/>
    </row>
    <row r="14" spans="1:14" ht="13.5" customHeight="1" x14ac:dyDescent="0.25">
      <c r="A14" s="51"/>
      <c r="B14" s="55">
        <v>8</v>
      </c>
      <c r="C14" s="56" t="s">
        <v>83</v>
      </c>
      <c r="D14" s="372">
        <v>6.0000000000000001E-3</v>
      </c>
      <c r="E14" s="372"/>
      <c r="F14" s="52"/>
      <c r="G14" s="397" t="s">
        <v>84</v>
      </c>
      <c r="H14" s="398"/>
      <c r="I14" s="399"/>
      <c r="J14" s="107">
        <f>(((1+J7)*(1+J8))/(1-J9))-1</f>
        <v>0.22988505747126453</v>
      </c>
      <c r="K14" s="107">
        <f>(((1+K7)*(1+K8))/(1-K9))-1</f>
        <v>0.31020408163265345</v>
      </c>
      <c r="L14" s="53"/>
      <c r="M14" s="49"/>
      <c r="N14" s="50"/>
    </row>
    <row r="15" spans="1:14" ht="13.5" customHeight="1" thickBot="1" x14ac:dyDescent="0.3">
      <c r="A15" s="51"/>
      <c r="B15" s="400" t="s">
        <v>85</v>
      </c>
      <c r="C15" s="401"/>
      <c r="D15" s="402">
        <f>SUM(D7:D14)</f>
        <v>0.39800000000000008</v>
      </c>
      <c r="E15" s="402"/>
      <c r="F15" s="64"/>
      <c r="G15" s="403" t="s">
        <v>86</v>
      </c>
      <c r="H15" s="404"/>
      <c r="I15" s="65"/>
      <c r="J15" s="65"/>
      <c r="K15" s="66"/>
      <c r="L15" s="53"/>
      <c r="M15" s="49"/>
      <c r="N15" s="50"/>
    </row>
    <row r="16" spans="1:14" ht="12.75" customHeight="1" x14ac:dyDescent="0.25">
      <c r="A16" s="51"/>
      <c r="B16" s="392" t="s">
        <v>87</v>
      </c>
      <c r="C16" s="393"/>
      <c r="D16" s="392" t="s">
        <v>64</v>
      </c>
      <c r="E16" s="393"/>
      <c r="F16" s="52"/>
      <c r="G16" s="53"/>
      <c r="H16" s="49"/>
      <c r="I16" s="49"/>
      <c r="J16" s="49"/>
      <c r="K16" s="60"/>
      <c r="L16" s="53"/>
      <c r="M16" s="49"/>
      <c r="N16" s="50"/>
    </row>
    <row r="17" spans="1:14" ht="27.75" customHeight="1" x14ac:dyDescent="0.25">
      <c r="A17" s="51"/>
      <c r="B17" s="67"/>
      <c r="C17" s="68"/>
      <c r="D17" s="69" t="s">
        <v>88</v>
      </c>
      <c r="E17" s="70" t="s">
        <v>89</v>
      </c>
      <c r="F17" s="52"/>
      <c r="G17" s="53"/>
      <c r="H17" s="49"/>
      <c r="I17" s="49"/>
      <c r="J17" s="49"/>
      <c r="K17" s="60"/>
      <c r="L17" s="53"/>
      <c r="M17" s="49"/>
      <c r="N17" s="50"/>
    </row>
    <row r="18" spans="1:14" ht="12.75" customHeight="1" x14ac:dyDescent="0.25">
      <c r="A18" s="51"/>
      <c r="B18" s="55">
        <v>9</v>
      </c>
      <c r="C18" s="56" t="s">
        <v>90</v>
      </c>
      <c r="D18" s="71">
        <v>8.3299999999999999E-2</v>
      </c>
      <c r="E18" s="71">
        <f t="shared" ref="E18:E19" si="0">1/11</f>
        <v>9.0909090909090912E-2</v>
      </c>
      <c r="F18" s="52"/>
      <c r="G18" s="72" t="s">
        <v>91</v>
      </c>
      <c r="H18" s="73"/>
      <c r="I18" s="49"/>
      <c r="J18" s="49"/>
      <c r="K18" s="60"/>
      <c r="L18" s="53"/>
      <c r="M18" s="49"/>
      <c r="N18" s="50"/>
    </row>
    <row r="19" spans="1:14" ht="12.75" customHeight="1" x14ac:dyDescent="0.25">
      <c r="A19" s="51"/>
      <c r="B19" s="55">
        <v>10</v>
      </c>
      <c r="C19" s="56" t="s">
        <v>92</v>
      </c>
      <c r="D19" s="71">
        <v>8.3299999999999999E-2</v>
      </c>
      <c r="E19" s="71">
        <f t="shared" si="0"/>
        <v>9.0909090909090912E-2</v>
      </c>
      <c r="F19" s="52"/>
      <c r="G19" s="74" t="s">
        <v>93</v>
      </c>
      <c r="H19" s="49"/>
      <c r="I19" s="49"/>
      <c r="J19" s="49"/>
      <c r="K19" s="60"/>
      <c r="L19" s="53"/>
      <c r="M19" s="49"/>
      <c r="N19" s="50"/>
    </row>
    <row r="20" spans="1:14" ht="12.75" customHeight="1" x14ac:dyDescent="0.25">
      <c r="A20" s="51"/>
      <c r="B20" s="55">
        <v>11</v>
      </c>
      <c r="C20" s="56" t="s">
        <v>94</v>
      </c>
      <c r="D20" s="71">
        <v>2.7799999999999998E-2</v>
      </c>
      <c r="E20" s="71">
        <f>1/3/11</f>
        <v>3.03030303030303E-2</v>
      </c>
      <c r="F20" s="52"/>
      <c r="G20" s="74" t="s">
        <v>95</v>
      </c>
      <c r="H20" s="49"/>
      <c r="I20" s="49"/>
      <c r="J20" s="49"/>
      <c r="K20" s="60"/>
      <c r="L20" s="53"/>
      <c r="M20" s="49"/>
      <c r="N20" s="50"/>
    </row>
    <row r="21" spans="1:14" ht="13.5" customHeight="1" thickBot="1" x14ac:dyDescent="0.3">
      <c r="A21" s="51"/>
      <c r="B21" s="55">
        <v>12</v>
      </c>
      <c r="C21" s="75" t="s">
        <v>96</v>
      </c>
      <c r="D21" s="370">
        <v>1.3899999999999999E-2</v>
      </c>
      <c r="E21" s="371"/>
      <c r="F21" s="52"/>
      <c r="G21" s="76" t="s">
        <v>97</v>
      </c>
      <c r="H21" s="77"/>
      <c r="I21" s="77"/>
      <c r="J21" s="77"/>
      <c r="K21" s="78"/>
      <c r="L21" s="53"/>
      <c r="M21" s="49"/>
      <c r="N21" s="50"/>
    </row>
    <row r="22" spans="1:14" ht="13.5" customHeight="1" thickBot="1" x14ac:dyDescent="0.3">
      <c r="A22" s="51"/>
      <c r="B22" s="55">
        <v>13</v>
      </c>
      <c r="C22" s="79" t="s">
        <v>98</v>
      </c>
      <c r="D22" s="370">
        <v>2.0000000000000001E-4</v>
      </c>
      <c r="E22" s="371"/>
      <c r="F22" s="52"/>
      <c r="G22" s="80" t="s">
        <v>99</v>
      </c>
      <c r="H22" s="81"/>
      <c r="I22" s="81"/>
      <c r="J22" s="81"/>
      <c r="K22" s="82"/>
      <c r="L22" s="53"/>
      <c r="M22" s="49"/>
      <c r="N22" s="50"/>
    </row>
    <row r="23" spans="1:14" ht="13.5" customHeight="1" x14ac:dyDescent="0.25">
      <c r="A23" s="51"/>
      <c r="B23" s="55">
        <v>14</v>
      </c>
      <c r="C23" s="56" t="s">
        <v>100</v>
      </c>
      <c r="D23" s="370">
        <v>2.8E-3</v>
      </c>
      <c r="E23" s="371"/>
      <c r="F23" s="52"/>
      <c r="G23" s="83" t="s">
        <v>101</v>
      </c>
      <c r="H23" s="84"/>
      <c r="I23" s="85"/>
      <c r="J23" s="85"/>
      <c r="K23" s="86"/>
      <c r="L23" s="53"/>
      <c r="M23" s="49"/>
      <c r="N23" s="50"/>
    </row>
    <row r="24" spans="1:14" ht="13.5" customHeight="1" x14ac:dyDescent="0.25">
      <c r="A24" s="51"/>
      <c r="B24" s="55">
        <v>15</v>
      </c>
      <c r="C24" s="56" t="s">
        <v>102</v>
      </c>
      <c r="D24" s="370">
        <v>2.9999999999999997E-4</v>
      </c>
      <c r="E24" s="371"/>
      <c r="F24" s="87"/>
      <c r="G24" s="88"/>
      <c r="H24" s="88"/>
      <c r="I24" s="89"/>
      <c r="J24" s="89"/>
      <c r="K24" s="89"/>
      <c r="L24" s="49"/>
      <c r="M24" s="49"/>
      <c r="N24" s="50"/>
    </row>
    <row r="25" spans="1:14" ht="13.5" customHeight="1" thickBot="1" x14ac:dyDescent="0.3">
      <c r="A25" s="51"/>
      <c r="B25" s="400" t="s">
        <v>103</v>
      </c>
      <c r="C25" s="401"/>
      <c r="D25" s="90">
        <f>SUM(D18:D20)+SUM(D21:E24)</f>
        <v>0.21159999999999998</v>
      </c>
      <c r="E25" s="90">
        <f>SUM(E18:E20)+SUM(D21:E24)</f>
        <v>0.22932121212121212</v>
      </c>
      <c r="F25" s="91"/>
      <c r="G25" s="405" t="s">
        <v>104</v>
      </c>
      <c r="H25" s="406"/>
      <c r="I25" s="406"/>
      <c r="J25" s="406"/>
      <c r="K25" s="406"/>
      <c r="L25" s="49"/>
      <c r="M25" s="49"/>
      <c r="N25" s="50"/>
    </row>
    <row r="26" spans="1:14" ht="25.5" customHeight="1" x14ac:dyDescent="0.25">
      <c r="A26" s="51"/>
      <c r="B26" s="392" t="s">
        <v>105</v>
      </c>
      <c r="C26" s="393"/>
      <c r="D26" s="392" t="s">
        <v>64</v>
      </c>
      <c r="E26" s="393"/>
      <c r="F26" s="64"/>
      <c r="G26" s="407" t="s">
        <v>57</v>
      </c>
      <c r="H26" s="408"/>
      <c r="I26" s="409"/>
      <c r="J26" s="69" t="s">
        <v>88</v>
      </c>
      <c r="K26" s="70" t="s">
        <v>89</v>
      </c>
      <c r="L26" s="53"/>
      <c r="M26" s="49"/>
      <c r="N26" s="50"/>
    </row>
    <row r="27" spans="1:14" ht="12.75" customHeight="1" x14ac:dyDescent="0.25">
      <c r="A27" s="51"/>
      <c r="B27" s="55">
        <v>16</v>
      </c>
      <c r="C27" s="79" t="s">
        <v>106</v>
      </c>
      <c r="D27" s="372">
        <v>4.1999999999999997E-3</v>
      </c>
      <c r="E27" s="372"/>
      <c r="F27" s="52"/>
      <c r="G27" s="92" t="s">
        <v>63</v>
      </c>
      <c r="H27" s="93"/>
      <c r="I27" s="94"/>
      <c r="J27" s="95">
        <f>D15</f>
        <v>0.39800000000000008</v>
      </c>
      <c r="K27" s="95">
        <f>D15</f>
        <v>0.39800000000000008</v>
      </c>
      <c r="L27" s="53"/>
      <c r="M27" s="49"/>
      <c r="N27" s="50"/>
    </row>
    <row r="28" spans="1:14" ht="12.75" customHeight="1" x14ac:dyDescent="0.25">
      <c r="A28" s="51"/>
      <c r="B28" s="55">
        <v>17</v>
      </c>
      <c r="C28" s="79" t="s">
        <v>107</v>
      </c>
      <c r="D28" s="372">
        <v>4.0000000000000002E-4</v>
      </c>
      <c r="E28" s="372"/>
      <c r="F28" s="52"/>
      <c r="G28" s="102" t="s">
        <v>58</v>
      </c>
      <c r="H28" s="103"/>
      <c r="I28" s="104"/>
      <c r="J28" s="415" t="s">
        <v>64</v>
      </c>
      <c r="K28" s="416"/>
      <c r="L28" s="53"/>
      <c r="M28" s="49"/>
      <c r="N28" s="50"/>
    </row>
    <row r="29" spans="1:14" ht="12.75" customHeight="1" x14ac:dyDescent="0.25">
      <c r="A29" s="51"/>
      <c r="B29" s="55">
        <v>18</v>
      </c>
      <c r="C29" s="56" t="s">
        <v>108</v>
      </c>
      <c r="D29" s="372">
        <v>8.0000000000000004E-4</v>
      </c>
      <c r="E29" s="372"/>
      <c r="F29" s="52"/>
      <c r="G29" s="92" t="s">
        <v>109</v>
      </c>
      <c r="H29" s="93"/>
      <c r="I29" s="94"/>
      <c r="J29" s="95">
        <f>D18</f>
        <v>8.3299999999999999E-2</v>
      </c>
      <c r="K29" s="95">
        <f>E18</f>
        <v>9.0909090909090912E-2</v>
      </c>
      <c r="L29" s="53"/>
      <c r="M29" s="49"/>
      <c r="N29" s="50"/>
    </row>
    <row r="30" spans="1:14" ht="12.75" customHeight="1" x14ac:dyDescent="0.25">
      <c r="A30" s="51"/>
      <c r="B30" s="55">
        <v>19</v>
      </c>
      <c r="C30" s="56" t="s">
        <v>110</v>
      </c>
      <c r="D30" s="372">
        <v>2.8799999999999999E-2</v>
      </c>
      <c r="E30" s="372"/>
      <c r="F30" s="52"/>
      <c r="G30" s="92" t="s">
        <v>111</v>
      </c>
      <c r="H30" s="93"/>
      <c r="I30" s="94"/>
      <c r="J30" s="95">
        <f>D19</f>
        <v>8.3299999999999999E-2</v>
      </c>
      <c r="K30" s="95">
        <f>E19</f>
        <v>9.0909090909090912E-2</v>
      </c>
      <c r="L30" s="53"/>
      <c r="M30" s="49"/>
      <c r="N30" s="50"/>
    </row>
    <row r="31" spans="1:14" ht="13.5" customHeight="1" thickBot="1" x14ac:dyDescent="0.3">
      <c r="A31" s="51"/>
      <c r="B31" s="400" t="s">
        <v>112</v>
      </c>
      <c r="C31" s="401"/>
      <c r="D31" s="402">
        <f>SUM(D27:D30)</f>
        <v>3.4200000000000001E-2</v>
      </c>
      <c r="E31" s="402"/>
      <c r="F31" s="52"/>
      <c r="G31" s="417" t="s">
        <v>113</v>
      </c>
      <c r="H31" s="418"/>
      <c r="I31" s="419"/>
      <c r="J31" s="423">
        <f>SUM(J29:J30)</f>
        <v>0.1666</v>
      </c>
      <c r="K31" s="423">
        <f>SUM(K29:K30)</f>
        <v>0.18181818181818182</v>
      </c>
      <c r="L31" s="53"/>
      <c r="M31" s="49"/>
      <c r="N31" s="50"/>
    </row>
    <row r="32" spans="1:14" ht="12.75" customHeight="1" x14ac:dyDescent="0.25">
      <c r="A32" s="51"/>
      <c r="B32" s="392" t="s">
        <v>114</v>
      </c>
      <c r="C32" s="393"/>
      <c r="D32" s="392" t="s">
        <v>64</v>
      </c>
      <c r="E32" s="393"/>
      <c r="F32" s="52"/>
      <c r="G32" s="420"/>
      <c r="H32" s="421"/>
      <c r="I32" s="422"/>
      <c r="J32" s="424"/>
      <c r="K32" s="425"/>
      <c r="L32" s="53"/>
      <c r="M32" s="49"/>
      <c r="N32" s="50"/>
    </row>
    <row r="33" spans="1:14" ht="12.75" customHeight="1" x14ac:dyDescent="0.25">
      <c r="A33" s="51"/>
      <c r="B33" s="55">
        <v>20</v>
      </c>
      <c r="C33" s="79" t="s">
        <v>115</v>
      </c>
      <c r="D33" s="96">
        <f>D15*(D25-D20)</f>
        <v>7.3152400000000006E-2</v>
      </c>
      <c r="E33" s="96">
        <f>D15*(E25-E20)</f>
        <v>7.9209236363636373E-2</v>
      </c>
      <c r="F33" s="52"/>
      <c r="G33" s="92" t="s">
        <v>116</v>
      </c>
      <c r="H33" s="93"/>
      <c r="I33" s="94"/>
      <c r="J33" s="95">
        <f>J27*J31</f>
        <v>6.6306800000000013E-2</v>
      </c>
      <c r="K33" s="95">
        <f>K27*K31</f>
        <v>7.236363636363638E-2</v>
      </c>
      <c r="L33" s="53"/>
      <c r="M33" s="49"/>
      <c r="N33" s="50"/>
    </row>
    <row r="34" spans="1:14" ht="13.5" customHeight="1" thickBot="1" x14ac:dyDescent="0.3">
      <c r="A34" s="51"/>
      <c r="B34" s="400" t="s">
        <v>117</v>
      </c>
      <c r="C34" s="401"/>
      <c r="D34" s="97">
        <f>SUM(D33)</f>
        <v>7.3152400000000006E-2</v>
      </c>
      <c r="E34" s="97">
        <f>SUM(E33)</f>
        <v>7.9209236363636373E-2</v>
      </c>
      <c r="F34" s="52"/>
      <c r="G34" s="92" t="s">
        <v>118</v>
      </c>
      <c r="H34" s="93"/>
      <c r="I34" s="94"/>
      <c r="J34" s="95">
        <f>D20</f>
        <v>2.7799999999999998E-2</v>
      </c>
      <c r="K34" s="95">
        <f>E20</f>
        <v>3.03030303030303E-2</v>
      </c>
      <c r="L34" s="53"/>
      <c r="M34" s="49"/>
      <c r="N34" s="50"/>
    </row>
    <row r="35" spans="1:14" ht="24" customHeight="1" x14ac:dyDescent="0.25">
      <c r="A35" s="51"/>
      <c r="B35" s="410" t="s">
        <v>119</v>
      </c>
      <c r="C35" s="411"/>
      <c r="D35" s="105" t="s">
        <v>88</v>
      </c>
      <c r="E35" s="106" t="s">
        <v>89</v>
      </c>
      <c r="F35" s="52"/>
      <c r="G35" s="92" t="s">
        <v>120</v>
      </c>
      <c r="H35" s="93"/>
      <c r="I35" s="94"/>
      <c r="J35" s="95">
        <f>D30</f>
        <v>2.8799999999999999E-2</v>
      </c>
      <c r="K35" s="95">
        <f>D30</f>
        <v>2.8799999999999999E-2</v>
      </c>
      <c r="L35" s="53"/>
      <c r="M35" s="49"/>
      <c r="N35" s="50"/>
    </row>
    <row r="36" spans="1:14" ht="13.5" customHeight="1" x14ac:dyDescent="0.25">
      <c r="A36" s="51"/>
      <c r="B36" s="412"/>
      <c r="C36" s="413"/>
      <c r="D36" s="107">
        <f>ROUNDDOWN((D15+D25+D31+D34),5)</f>
        <v>0.71694999999999998</v>
      </c>
      <c r="E36" s="107">
        <f>(D15+E25+D31+E34)</f>
        <v>0.74073044848484859</v>
      </c>
      <c r="F36" s="52"/>
      <c r="G36" s="108" t="s">
        <v>121</v>
      </c>
      <c r="H36" s="109"/>
      <c r="I36" s="110"/>
      <c r="J36" s="111">
        <f>SUM(J31:J35)</f>
        <v>0.28950680000000001</v>
      </c>
      <c r="K36" s="111">
        <f>SUM(K31:K35)</f>
        <v>0.31328484848484844</v>
      </c>
      <c r="L36" s="53"/>
      <c r="M36" s="49"/>
      <c r="N36" s="50"/>
    </row>
    <row r="37" spans="1:14" ht="12.75" customHeight="1" x14ac:dyDescent="0.25">
      <c r="A37" s="46"/>
      <c r="B37" s="98" t="s">
        <v>122</v>
      </c>
      <c r="C37" s="88"/>
      <c r="D37" s="88"/>
      <c r="E37" s="88"/>
      <c r="F37" s="47"/>
      <c r="G37" s="89"/>
      <c r="H37" s="89"/>
      <c r="I37" s="89"/>
      <c r="J37" s="89"/>
      <c r="K37" s="89"/>
      <c r="L37" s="49"/>
      <c r="M37" s="49"/>
      <c r="N37" s="50"/>
    </row>
    <row r="38" spans="1:14" ht="12.75" customHeight="1" x14ac:dyDescent="0.25">
      <c r="A38" s="46"/>
      <c r="B38" s="99" t="s">
        <v>123</v>
      </c>
      <c r="C38" s="47"/>
      <c r="D38" s="47"/>
      <c r="E38" s="47"/>
      <c r="F38" s="49"/>
      <c r="G38" s="49"/>
      <c r="H38" s="49"/>
      <c r="I38" s="49"/>
      <c r="J38" s="49"/>
      <c r="K38" s="49"/>
      <c r="L38" s="49"/>
      <c r="M38" s="49"/>
      <c r="N38" s="50"/>
    </row>
    <row r="39" spans="1:14" ht="15" x14ac:dyDescent="0.25">
      <c r="A39" s="46"/>
      <c r="B39" s="414" t="s">
        <v>200</v>
      </c>
      <c r="C39" s="414"/>
      <c r="D39" s="414"/>
      <c r="E39" s="414"/>
      <c r="F39" s="49"/>
      <c r="G39" s="49"/>
      <c r="H39" s="49"/>
      <c r="I39" s="49"/>
      <c r="J39" s="49"/>
      <c r="K39" s="49"/>
      <c r="L39" s="49"/>
      <c r="M39" s="49"/>
      <c r="N39" s="50"/>
    </row>
    <row r="40" spans="1:14" ht="12.75" customHeight="1" x14ac:dyDescent="0.25">
      <c r="A40" s="46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50"/>
    </row>
    <row r="41" spans="1:14" ht="12.75" customHeight="1" x14ac:dyDescent="0.25">
      <c r="A41" s="46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50"/>
    </row>
    <row r="42" spans="1:14" ht="12.75" customHeight="1" x14ac:dyDescent="0.25">
      <c r="A42" s="46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50"/>
    </row>
    <row r="43" spans="1:14" ht="12.75" customHeight="1" x14ac:dyDescent="0.25">
      <c r="A43" s="46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50"/>
    </row>
    <row r="44" spans="1:14" ht="12.75" customHeight="1" x14ac:dyDescent="0.25">
      <c r="A44" s="46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50"/>
    </row>
    <row r="45" spans="1:14" ht="13.5" customHeight="1" x14ac:dyDescent="0.25">
      <c r="A45" s="46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50"/>
    </row>
    <row r="46" spans="1:14" ht="12.75" customHeight="1" x14ac:dyDescent="0.25">
      <c r="A46" s="46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50"/>
    </row>
    <row r="47" spans="1:14" ht="12.75" customHeight="1" x14ac:dyDescent="0.25">
      <c r="A47" s="46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50"/>
    </row>
    <row r="48" spans="1:14" ht="12.75" customHeight="1" x14ac:dyDescent="0.25">
      <c r="A48" s="46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50"/>
    </row>
    <row r="49" spans="1:14" ht="12.75" customHeight="1" x14ac:dyDescent="0.25">
      <c r="A49" s="46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50"/>
    </row>
    <row r="50" spans="1:14" ht="12.75" customHeight="1" x14ac:dyDescent="0.25">
      <c r="A50" s="46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50"/>
    </row>
    <row r="51" spans="1:14" ht="12.75" customHeight="1" x14ac:dyDescent="0.25">
      <c r="A51" s="46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50"/>
    </row>
    <row r="52" spans="1:14" ht="12.75" customHeight="1" x14ac:dyDescent="0.25">
      <c r="A52" s="46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50"/>
    </row>
    <row r="53" spans="1:14" ht="12.75" customHeight="1" x14ac:dyDescent="0.25">
      <c r="A53" s="46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50"/>
    </row>
  </sheetData>
  <mergeCells count="52">
    <mergeCell ref="B39:E39"/>
    <mergeCell ref="J28:K28"/>
    <mergeCell ref="D29:E29"/>
    <mergeCell ref="D30:E30"/>
    <mergeCell ref="B31:C31"/>
    <mergeCell ref="D31:E31"/>
    <mergeCell ref="G31:I32"/>
    <mergeCell ref="J31:J32"/>
    <mergeCell ref="K31:K32"/>
    <mergeCell ref="B32:C32"/>
    <mergeCell ref="D24:E24"/>
    <mergeCell ref="D32:E32"/>
    <mergeCell ref="B34:C34"/>
    <mergeCell ref="B35:C36"/>
    <mergeCell ref="D28:E28"/>
    <mergeCell ref="D13:E13"/>
    <mergeCell ref="D27:E27"/>
    <mergeCell ref="G14:I14"/>
    <mergeCell ref="B15:C15"/>
    <mergeCell ref="D15:E15"/>
    <mergeCell ref="G15:H15"/>
    <mergeCell ref="B16:C16"/>
    <mergeCell ref="D16:E16"/>
    <mergeCell ref="D14:E14"/>
    <mergeCell ref="B25:C25"/>
    <mergeCell ref="G25:K25"/>
    <mergeCell ref="B26:C26"/>
    <mergeCell ref="D26:E26"/>
    <mergeCell ref="G26:I26"/>
    <mergeCell ref="D22:E22"/>
    <mergeCell ref="D23:E23"/>
    <mergeCell ref="G7:H7"/>
    <mergeCell ref="D9:E9"/>
    <mergeCell ref="D10:E10"/>
    <mergeCell ref="D11:E11"/>
    <mergeCell ref="D12:E12"/>
    <mergeCell ref="D21:E21"/>
    <mergeCell ref="D8:E8"/>
    <mergeCell ref="G8:H8"/>
    <mergeCell ref="B2:E2"/>
    <mergeCell ref="B3:E3"/>
    <mergeCell ref="G3:K3"/>
    <mergeCell ref="B4:B5"/>
    <mergeCell ref="C4:C5"/>
    <mergeCell ref="D4:E4"/>
    <mergeCell ref="G4:I5"/>
    <mergeCell ref="J4:J5"/>
    <mergeCell ref="K4:K5"/>
    <mergeCell ref="B6:C6"/>
    <mergeCell ref="D6:E6"/>
    <mergeCell ref="G6:I6"/>
    <mergeCell ref="D7:E7"/>
  </mergeCells>
  <pageMargins left="0.78740200000000005" right="0.78740200000000005" top="0.98425200000000002" bottom="0.98425200000000002" header="0.51181100000000002" footer="0.51181100000000002"/>
  <pageSetup scale="50" orientation="landscape" r:id="rId1"/>
  <headerFooter>
    <oddFooter>&amp;C&amp;"Helvetica Neue,Regular"&amp;12&amp;K000000&amp;P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3:K22"/>
  <sheetViews>
    <sheetView showGridLines="0" zoomScale="112" zoomScaleNormal="112" zoomScalePageLayoutView="40" workbookViewId="0">
      <selection activeCell="A4" sqref="A4"/>
    </sheetView>
  </sheetViews>
  <sheetFormatPr defaultColWidth="8.85546875" defaultRowHeight="12.75" x14ac:dyDescent="0.2"/>
  <cols>
    <col min="1" max="1" width="5" style="131" customWidth="1"/>
    <col min="2" max="2" width="17.140625" style="131" customWidth="1"/>
    <col min="3" max="3" width="25.85546875" style="131" customWidth="1"/>
    <col min="4" max="4" width="13" style="131" customWidth="1"/>
    <col min="5" max="5" width="18.28515625" style="131" customWidth="1"/>
    <col min="6" max="6" width="14.140625" style="131" customWidth="1"/>
    <col min="7" max="7" width="14.85546875" style="131" customWidth="1"/>
    <col min="8" max="8" width="39.85546875" style="131" customWidth="1"/>
    <col min="9" max="11" width="12.7109375" style="131" customWidth="1"/>
    <col min="12" max="12" width="12" style="131" bestFit="1" customWidth="1"/>
    <col min="13" max="251" width="8.85546875" style="131"/>
    <col min="252" max="253" width="0" style="131" hidden="1" customWidth="1"/>
    <col min="254" max="254" width="12.140625" style="131" customWidth="1"/>
    <col min="255" max="255" width="33.85546875" style="131" customWidth="1"/>
    <col min="256" max="256" width="11.42578125" style="131" customWidth="1"/>
    <col min="257" max="258" width="0.140625" style="131" customWidth="1"/>
    <col min="259" max="261" width="12.7109375" style="131" customWidth="1"/>
    <col min="262" max="262" width="35.28515625" style="131" customWidth="1"/>
    <col min="263" max="267" width="12.7109375" style="131" customWidth="1"/>
    <col min="268" max="268" width="12" style="131" bestFit="1" customWidth="1"/>
    <col min="269" max="507" width="8.85546875" style="131"/>
    <col min="508" max="509" width="0" style="131" hidden="1" customWidth="1"/>
    <col min="510" max="510" width="12.140625" style="131" customWidth="1"/>
    <col min="511" max="511" width="33.85546875" style="131" customWidth="1"/>
    <col min="512" max="512" width="11.42578125" style="131" customWidth="1"/>
    <col min="513" max="514" width="0.140625" style="131" customWidth="1"/>
    <col min="515" max="517" width="12.7109375" style="131" customWidth="1"/>
    <col min="518" max="518" width="35.28515625" style="131" customWidth="1"/>
    <col min="519" max="523" width="12.7109375" style="131" customWidth="1"/>
    <col min="524" max="524" width="12" style="131" bestFit="1" customWidth="1"/>
    <col min="525" max="763" width="8.85546875" style="131"/>
    <col min="764" max="765" width="0" style="131" hidden="1" customWidth="1"/>
    <col min="766" max="766" width="12.140625" style="131" customWidth="1"/>
    <col min="767" max="767" width="33.85546875" style="131" customWidth="1"/>
    <col min="768" max="768" width="11.42578125" style="131" customWidth="1"/>
    <col min="769" max="770" width="0.140625" style="131" customWidth="1"/>
    <col min="771" max="773" width="12.7109375" style="131" customWidth="1"/>
    <col min="774" max="774" width="35.28515625" style="131" customWidth="1"/>
    <col min="775" max="779" width="12.7109375" style="131" customWidth="1"/>
    <col min="780" max="780" width="12" style="131" bestFit="1" customWidth="1"/>
    <col min="781" max="1019" width="8.85546875" style="131"/>
    <col min="1020" max="1021" width="0" style="131" hidden="1" customWidth="1"/>
    <col min="1022" max="1022" width="12.140625" style="131" customWidth="1"/>
    <col min="1023" max="1023" width="33.85546875" style="131" customWidth="1"/>
    <col min="1024" max="1024" width="11.42578125" style="131" customWidth="1"/>
    <col min="1025" max="1026" width="0.140625" style="131" customWidth="1"/>
    <col min="1027" max="1029" width="12.7109375" style="131" customWidth="1"/>
    <col min="1030" max="1030" width="35.28515625" style="131" customWidth="1"/>
    <col min="1031" max="1035" width="12.7109375" style="131" customWidth="1"/>
    <col min="1036" max="1036" width="12" style="131" bestFit="1" customWidth="1"/>
    <col min="1037" max="1275" width="8.85546875" style="131"/>
    <col min="1276" max="1277" width="0" style="131" hidden="1" customWidth="1"/>
    <col min="1278" max="1278" width="12.140625" style="131" customWidth="1"/>
    <col min="1279" max="1279" width="33.85546875" style="131" customWidth="1"/>
    <col min="1280" max="1280" width="11.42578125" style="131" customWidth="1"/>
    <col min="1281" max="1282" width="0.140625" style="131" customWidth="1"/>
    <col min="1283" max="1285" width="12.7109375" style="131" customWidth="1"/>
    <col min="1286" max="1286" width="35.28515625" style="131" customWidth="1"/>
    <col min="1287" max="1291" width="12.7109375" style="131" customWidth="1"/>
    <col min="1292" max="1292" width="12" style="131" bestFit="1" customWidth="1"/>
    <col min="1293" max="1531" width="8.85546875" style="131"/>
    <col min="1532" max="1533" width="0" style="131" hidden="1" customWidth="1"/>
    <col min="1534" max="1534" width="12.140625" style="131" customWidth="1"/>
    <col min="1535" max="1535" width="33.85546875" style="131" customWidth="1"/>
    <col min="1536" max="1536" width="11.42578125" style="131" customWidth="1"/>
    <col min="1537" max="1538" width="0.140625" style="131" customWidth="1"/>
    <col min="1539" max="1541" width="12.7109375" style="131" customWidth="1"/>
    <col min="1542" max="1542" width="35.28515625" style="131" customWidth="1"/>
    <col min="1543" max="1547" width="12.7109375" style="131" customWidth="1"/>
    <col min="1548" max="1548" width="12" style="131" bestFit="1" customWidth="1"/>
    <col min="1549" max="1787" width="8.85546875" style="131"/>
    <col min="1788" max="1789" width="0" style="131" hidden="1" customWidth="1"/>
    <col min="1790" max="1790" width="12.140625" style="131" customWidth="1"/>
    <col min="1791" max="1791" width="33.85546875" style="131" customWidth="1"/>
    <col min="1792" max="1792" width="11.42578125" style="131" customWidth="1"/>
    <col min="1793" max="1794" width="0.140625" style="131" customWidth="1"/>
    <col min="1795" max="1797" width="12.7109375" style="131" customWidth="1"/>
    <col min="1798" max="1798" width="35.28515625" style="131" customWidth="1"/>
    <col min="1799" max="1803" width="12.7109375" style="131" customWidth="1"/>
    <col min="1804" max="1804" width="12" style="131" bestFit="1" customWidth="1"/>
    <col min="1805" max="2043" width="8.85546875" style="131"/>
    <col min="2044" max="2045" width="0" style="131" hidden="1" customWidth="1"/>
    <col min="2046" max="2046" width="12.140625" style="131" customWidth="1"/>
    <col min="2047" max="2047" width="33.85546875" style="131" customWidth="1"/>
    <col min="2048" max="2048" width="11.42578125" style="131" customWidth="1"/>
    <col min="2049" max="2050" width="0.140625" style="131" customWidth="1"/>
    <col min="2051" max="2053" width="12.7109375" style="131" customWidth="1"/>
    <col min="2054" max="2054" width="35.28515625" style="131" customWidth="1"/>
    <col min="2055" max="2059" width="12.7109375" style="131" customWidth="1"/>
    <col min="2060" max="2060" width="12" style="131" bestFit="1" customWidth="1"/>
    <col min="2061" max="2299" width="8.85546875" style="131"/>
    <col min="2300" max="2301" width="0" style="131" hidden="1" customWidth="1"/>
    <col min="2302" max="2302" width="12.140625" style="131" customWidth="1"/>
    <col min="2303" max="2303" width="33.85546875" style="131" customWidth="1"/>
    <col min="2304" max="2304" width="11.42578125" style="131" customWidth="1"/>
    <col min="2305" max="2306" width="0.140625" style="131" customWidth="1"/>
    <col min="2307" max="2309" width="12.7109375" style="131" customWidth="1"/>
    <col min="2310" max="2310" width="35.28515625" style="131" customWidth="1"/>
    <col min="2311" max="2315" width="12.7109375" style="131" customWidth="1"/>
    <col min="2316" max="2316" width="12" style="131" bestFit="1" customWidth="1"/>
    <col min="2317" max="2555" width="8.85546875" style="131"/>
    <col min="2556" max="2557" width="0" style="131" hidden="1" customWidth="1"/>
    <col min="2558" max="2558" width="12.140625" style="131" customWidth="1"/>
    <col min="2559" max="2559" width="33.85546875" style="131" customWidth="1"/>
    <col min="2560" max="2560" width="11.42578125" style="131" customWidth="1"/>
    <col min="2561" max="2562" width="0.140625" style="131" customWidth="1"/>
    <col min="2563" max="2565" width="12.7109375" style="131" customWidth="1"/>
    <col min="2566" max="2566" width="35.28515625" style="131" customWidth="1"/>
    <col min="2567" max="2571" width="12.7109375" style="131" customWidth="1"/>
    <col min="2572" max="2572" width="12" style="131" bestFit="1" customWidth="1"/>
    <col min="2573" max="2811" width="8.85546875" style="131"/>
    <col min="2812" max="2813" width="0" style="131" hidden="1" customWidth="1"/>
    <col min="2814" max="2814" width="12.140625" style="131" customWidth="1"/>
    <col min="2815" max="2815" width="33.85546875" style="131" customWidth="1"/>
    <col min="2816" max="2816" width="11.42578125" style="131" customWidth="1"/>
    <col min="2817" max="2818" width="0.140625" style="131" customWidth="1"/>
    <col min="2819" max="2821" width="12.7109375" style="131" customWidth="1"/>
    <col min="2822" max="2822" width="35.28515625" style="131" customWidth="1"/>
    <col min="2823" max="2827" width="12.7109375" style="131" customWidth="1"/>
    <col min="2828" max="2828" width="12" style="131" bestFit="1" customWidth="1"/>
    <col min="2829" max="3067" width="8.85546875" style="131"/>
    <col min="3068" max="3069" width="0" style="131" hidden="1" customWidth="1"/>
    <col min="3070" max="3070" width="12.140625" style="131" customWidth="1"/>
    <col min="3071" max="3071" width="33.85546875" style="131" customWidth="1"/>
    <col min="3072" max="3072" width="11.42578125" style="131" customWidth="1"/>
    <col min="3073" max="3074" width="0.140625" style="131" customWidth="1"/>
    <col min="3075" max="3077" width="12.7109375" style="131" customWidth="1"/>
    <col min="3078" max="3078" width="35.28515625" style="131" customWidth="1"/>
    <col min="3079" max="3083" width="12.7109375" style="131" customWidth="1"/>
    <col min="3084" max="3084" width="12" style="131" bestFit="1" customWidth="1"/>
    <col min="3085" max="3323" width="8.85546875" style="131"/>
    <col min="3324" max="3325" width="0" style="131" hidden="1" customWidth="1"/>
    <col min="3326" max="3326" width="12.140625" style="131" customWidth="1"/>
    <col min="3327" max="3327" width="33.85546875" style="131" customWidth="1"/>
    <col min="3328" max="3328" width="11.42578125" style="131" customWidth="1"/>
    <col min="3329" max="3330" width="0.140625" style="131" customWidth="1"/>
    <col min="3331" max="3333" width="12.7109375" style="131" customWidth="1"/>
    <col min="3334" max="3334" width="35.28515625" style="131" customWidth="1"/>
    <col min="3335" max="3339" width="12.7109375" style="131" customWidth="1"/>
    <col min="3340" max="3340" width="12" style="131" bestFit="1" customWidth="1"/>
    <col min="3341" max="3579" width="8.85546875" style="131"/>
    <col min="3580" max="3581" width="0" style="131" hidden="1" customWidth="1"/>
    <col min="3582" max="3582" width="12.140625" style="131" customWidth="1"/>
    <col min="3583" max="3583" width="33.85546875" style="131" customWidth="1"/>
    <col min="3584" max="3584" width="11.42578125" style="131" customWidth="1"/>
    <col min="3585" max="3586" width="0.140625" style="131" customWidth="1"/>
    <col min="3587" max="3589" width="12.7109375" style="131" customWidth="1"/>
    <col min="3590" max="3590" width="35.28515625" style="131" customWidth="1"/>
    <col min="3591" max="3595" width="12.7109375" style="131" customWidth="1"/>
    <col min="3596" max="3596" width="12" style="131" bestFit="1" customWidth="1"/>
    <col min="3597" max="3835" width="8.85546875" style="131"/>
    <col min="3836" max="3837" width="0" style="131" hidden="1" customWidth="1"/>
    <col min="3838" max="3838" width="12.140625" style="131" customWidth="1"/>
    <col min="3839" max="3839" width="33.85546875" style="131" customWidth="1"/>
    <col min="3840" max="3840" width="11.42578125" style="131" customWidth="1"/>
    <col min="3841" max="3842" width="0.140625" style="131" customWidth="1"/>
    <col min="3843" max="3845" width="12.7109375" style="131" customWidth="1"/>
    <col min="3846" max="3846" width="35.28515625" style="131" customWidth="1"/>
    <col min="3847" max="3851" width="12.7109375" style="131" customWidth="1"/>
    <col min="3852" max="3852" width="12" style="131" bestFit="1" customWidth="1"/>
    <col min="3853" max="4091" width="8.85546875" style="131"/>
    <col min="4092" max="4093" width="0" style="131" hidden="1" customWidth="1"/>
    <col min="4094" max="4094" width="12.140625" style="131" customWidth="1"/>
    <col min="4095" max="4095" width="33.85546875" style="131" customWidth="1"/>
    <col min="4096" max="4096" width="11.42578125" style="131" customWidth="1"/>
    <col min="4097" max="4098" width="0.140625" style="131" customWidth="1"/>
    <col min="4099" max="4101" width="12.7109375" style="131" customWidth="1"/>
    <col min="4102" max="4102" width="35.28515625" style="131" customWidth="1"/>
    <col min="4103" max="4107" width="12.7109375" style="131" customWidth="1"/>
    <col min="4108" max="4108" width="12" style="131" bestFit="1" customWidth="1"/>
    <col min="4109" max="4347" width="8.85546875" style="131"/>
    <col min="4348" max="4349" width="0" style="131" hidden="1" customWidth="1"/>
    <col min="4350" max="4350" width="12.140625" style="131" customWidth="1"/>
    <col min="4351" max="4351" width="33.85546875" style="131" customWidth="1"/>
    <col min="4352" max="4352" width="11.42578125" style="131" customWidth="1"/>
    <col min="4353" max="4354" width="0.140625" style="131" customWidth="1"/>
    <col min="4355" max="4357" width="12.7109375" style="131" customWidth="1"/>
    <col min="4358" max="4358" width="35.28515625" style="131" customWidth="1"/>
    <col min="4359" max="4363" width="12.7109375" style="131" customWidth="1"/>
    <col min="4364" max="4364" width="12" style="131" bestFit="1" customWidth="1"/>
    <col min="4365" max="4603" width="8.85546875" style="131"/>
    <col min="4604" max="4605" width="0" style="131" hidden="1" customWidth="1"/>
    <col min="4606" max="4606" width="12.140625" style="131" customWidth="1"/>
    <col min="4607" max="4607" width="33.85546875" style="131" customWidth="1"/>
    <col min="4608" max="4608" width="11.42578125" style="131" customWidth="1"/>
    <col min="4609" max="4610" width="0.140625" style="131" customWidth="1"/>
    <col min="4611" max="4613" width="12.7109375" style="131" customWidth="1"/>
    <col min="4614" max="4614" width="35.28515625" style="131" customWidth="1"/>
    <col min="4615" max="4619" width="12.7109375" style="131" customWidth="1"/>
    <col min="4620" max="4620" width="12" style="131" bestFit="1" customWidth="1"/>
    <col min="4621" max="4859" width="8.85546875" style="131"/>
    <col min="4860" max="4861" width="0" style="131" hidden="1" customWidth="1"/>
    <col min="4862" max="4862" width="12.140625" style="131" customWidth="1"/>
    <col min="4863" max="4863" width="33.85546875" style="131" customWidth="1"/>
    <col min="4864" max="4864" width="11.42578125" style="131" customWidth="1"/>
    <col min="4865" max="4866" width="0.140625" style="131" customWidth="1"/>
    <col min="4867" max="4869" width="12.7109375" style="131" customWidth="1"/>
    <col min="4870" max="4870" width="35.28515625" style="131" customWidth="1"/>
    <col min="4871" max="4875" width="12.7109375" style="131" customWidth="1"/>
    <col min="4876" max="4876" width="12" style="131" bestFit="1" customWidth="1"/>
    <col min="4877" max="5115" width="8.85546875" style="131"/>
    <col min="5116" max="5117" width="0" style="131" hidden="1" customWidth="1"/>
    <col min="5118" max="5118" width="12.140625" style="131" customWidth="1"/>
    <col min="5119" max="5119" width="33.85546875" style="131" customWidth="1"/>
    <col min="5120" max="5120" width="11.42578125" style="131" customWidth="1"/>
    <col min="5121" max="5122" width="0.140625" style="131" customWidth="1"/>
    <col min="5123" max="5125" width="12.7109375" style="131" customWidth="1"/>
    <col min="5126" max="5126" width="35.28515625" style="131" customWidth="1"/>
    <col min="5127" max="5131" width="12.7109375" style="131" customWidth="1"/>
    <col min="5132" max="5132" width="12" style="131" bestFit="1" customWidth="1"/>
    <col min="5133" max="5371" width="8.85546875" style="131"/>
    <col min="5372" max="5373" width="0" style="131" hidden="1" customWidth="1"/>
    <col min="5374" max="5374" width="12.140625" style="131" customWidth="1"/>
    <col min="5375" max="5375" width="33.85546875" style="131" customWidth="1"/>
    <col min="5376" max="5376" width="11.42578125" style="131" customWidth="1"/>
    <col min="5377" max="5378" width="0.140625" style="131" customWidth="1"/>
    <col min="5379" max="5381" width="12.7109375" style="131" customWidth="1"/>
    <col min="5382" max="5382" width="35.28515625" style="131" customWidth="1"/>
    <col min="5383" max="5387" width="12.7109375" style="131" customWidth="1"/>
    <col min="5388" max="5388" width="12" style="131" bestFit="1" customWidth="1"/>
    <col min="5389" max="5627" width="8.85546875" style="131"/>
    <col min="5628" max="5629" width="0" style="131" hidden="1" customWidth="1"/>
    <col min="5630" max="5630" width="12.140625" style="131" customWidth="1"/>
    <col min="5631" max="5631" width="33.85546875" style="131" customWidth="1"/>
    <col min="5632" max="5632" width="11.42578125" style="131" customWidth="1"/>
    <col min="5633" max="5634" width="0.140625" style="131" customWidth="1"/>
    <col min="5635" max="5637" width="12.7109375" style="131" customWidth="1"/>
    <col min="5638" max="5638" width="35.28515625" style="131" customWidth="1"/>
    <col min="5639" max="5643" width="12.7109375" style="131" customWidth="1"/>
    <col min="5644" max="5644" width="12" style="131" bestFit="1" customWidth="1"/>
    <col min="5645" max="5883" width="8.85546875" style="131"/>
    <col min="5884" max="5885" width="0" style="131" hidden="1" customWidth="1"/>
    <col min="5886" max="5886" width="12.140625" style="131" customWidth="1"/>
    <col min="5887" max="5887" width="33.85546875" style="131" customWidth="1"/>
    <col min="5888" max="5888" width="11.42578125" style="131" customWidth="1"/>
    <col min="5889" max="5890" width="0.140625" style="131" customWidth="1"/>
    <col min="5891" max="5893" width="12.7109375" style="131" customWidth="1"/>
    <col min="5894" max="5894" width="35.28515625" style="131" customWidth="1"/>
    <col min="5895" max="5899" width="12.7109375" style="131" customWidth="1"/>
    <col min="5900" max="5900" width="12" style="131" bestFit="1" customWidth="1"/>
    <col min="5901" max="6139" width="8.85546875" style="131"/>
    <col min="6140" max="6141" width="0" style="131" hidden="1" customWidth="1"/>
    <col min="6142" max="6142" width="12.140625" style="131" customWidth="1"/>
    <col min="6143" max="6143" width="33.85546875" style="131" customWidth="1"/>
    <col min="6144" max="6144" width="11.42578125" style="131" customWidth="1"/>
    <col min="6145" max="6146" width="0.140625" style="131" customWidth="1"/>
    <col min="6147" max="6149" width="12.7109375" style="131" customWidth="1"/>
    <col min="6150" max="6150" width="35.28515625" style="131" customWidth="1"/>
    <col min="6151" max="6155" width="12.7109375" style="131" customWidth="1"/>
    <col min="6156" max="6156" width="12" style="131" bestFit="1" customWidth="1"/>
    <col min="6157" max="6395" width="8.85546875" style="131"/>
    <col min="6396" max="6397" width="0" style="131" hidden="1" customWidth="1"/>
    <col min="6398" max="6398" width="12.140625" style="131" customWidth="1"/>
    <col min="6399" max="6399" width="33.85546875" style="131" customWidth="1"/>
    <col min="6400" max="6400" width="11.42578125" style="131" customWidth="1"/>
    <col min="6401" max="6402" width="0.140625" style="131" customWidth="1"/>
    <col min="6403" max="6405" width="12.7109375" style="131" customWidth="1"/>
    <col min="6406" max="6406" width="35.28515625" style="131" customWidth="1"/>
    <col min="6407" max="6411" width="12.7109375" style="131" customWidth="1"/>
    <col min="6412" max="6412" width="12" style="131" bestFit="1" customWidth="1"/>
    <col min="6413" max="6651" width="8.85546875" style="131"/>
    <col min="6652" max="6653" width="0" style="131" hidden="1" customWidth="1"/>
    <col min="6654" max="6654" width="12.140625" style="131" customWidth="1"/>
    <col min="6655" max="6655" width="33.85546875" style="131" customWidth="1"/>
    <col min="6656" max="6656" width="11.42578125" style="131" customWidth="1"/>
    <col min="6657" max="6658" width="0.140625" style="131" customWidth="1"/>
    <col min="6659" max="6661" width="12.7109375" style="131" customWidth="1"/>
    <col min="6662" max="6662" width="35.28515625" style="131" customWidth="1"/>
    <col min="6663" max="6667" width="12.7109375" style="131" customWidth="1"/>
    <col min="6668" max="6668" width="12" style="131" bestFit="1" customWidth="1"/>
    <col min="6669" max="6907" width="8.85546875" style="131"/>
    <col min="6908" max="6909" width="0" style="131" hidden="1" customWidth="1"/>
    <col min="6910" max="6910" width="12.140625" style="131" customWidth="1"/>
    <col min="6911" max="6911" width="33.85546875" style="131" customWidth="1"/>
    <col min="6912" max="6912" width="11.42578125" style="131" customWidth="1"/>
    <col min="6913" max="6914" width="0.140625" style="131" customWidth="1"/>
    <col min="6915" max="6917" width="12.7109375" style="131" customWidth="1"/>
    <col min="6918" max="6918" width="35.28515625" style="131" customWidth="1"/>
    <col min="6919" max="6923" width="12.7109375" style="131" customWidth="1"/>
    <col min="6924" max="6924" width="12" style="131" bestFit="1" customWidth="1"/>
    <col min="6925" max="7163" width="8.85546875" style="131"/>
    <col min="7164" max="7165" width="0" style="131" hidden="1" customWidth="1"/>
    <col min="7166" max="7166" width="12.140625" style="131" customWidth="1"/>
    <col min="7167" max="7167" width="33.85546875" style="131" customWidth="1"/>
    <col min="7168" max="7168" width="11.42578125" style="131" customWidth="1"/>
    <col min="7169" max="7170" width="0.140625" style="131" customWidth="1"/>
    <col min="7171" max="7173" width="12.7109375" style="131" customWidth="1"/>
    <col min="7174" max="7174" width="35.28515625" style="131" customWidth="1"/>
    <col min="7175" max="7179" width="12.7109375" style="131" customWidth="1"/>
    <col min="7180" max="7180" width="12" style="131" bestFit="1" customWidth="1"/>
    <col min="7181" max="7419" width="8.85546875" style="131"/>
    <col min="7420" max="7421" width="0" style="131" hidden="1" customWidth="1"/>
    <col min="7422" max="7422" width="12.140625" style="131" customWidth="1"/>
    <col min="7423" max="7423" width="33.85546875" style="131" customWidth="1"/>
    <col min="7424" max="7424" width="11.42578125" style="131" customWidth="1"/>
    <col min="7425" max="7426" width="0.140625" style="131" customWidth="1"/>
    <col min="7427" max="7429" width="12.7109375" style="131" customWidth="1"/>
    <col min="7430" max="7430" width="35.28515625" style="131" customWidth="1"/>
    <col min="7431" max="7435" width="12.7109375" style="131" customWidth="1"/>
    <col min="7436" max="7436" width="12" style="131" bestFit="1" customWidth="1"/>
    <col min="7437" max="7675" width="8.85546875" style="131"/>
    <col min="7676" max="7677" width="0" style="131" hidden="1" customWidth="1"/>
    <col min="7678" max="7678" width="12.140625" style="131" customWidth="1"/>
    <col min="7679" max="7679" width="33.85546875" style="131" customWidth="1"/>
    <col min="7680" max="7680" width="11.42578125" style="131" customWidth="1"/>
    <col min="7681" max="7682" width="0.140625" style="131" customWidth="1"/>
    <col min="7683" max="7685" width="12.7109375" style="131" customWidth="1"/>
    <col min="7686" max="7686" width="35.28515625" style="131" customWidth="1"/>
    <col min="7687" max="7691" width="12.7109375" style="131" customWidth="1"/>
    <col min="7692" max="7692" width="12" style="131" bestFit="1" customWidth="1"/>
    <col min="7693" max="7931" width="8.85546875" style="131"/>
    <col min="7932" max="7933" width="0" style="131" hidden="1" customWidth="1"/>
    <col min="7934" max="7934" width="12.140625" style="131" customWidth="1"/>
    <col min="7935" max="7935" width="33.85546875" style="131" customWidth="1"/>
    <col min="7936" max="7936" width="11.42578125" style="131" customWidth="1"/>
    <col min="7937" max="7938" width="0.140625" style="131" customWidth="1"/>
    <col min="7939" max="7941" width="12.7109375" style="131" customWidth="1"/>
    <col min="7942" max="7942" width="35.28515625" style="131" customWidth="1"/>
    <col min="7943" max="7947" width="12.7109375" style="131" customWidth="1"/>
    <col min="7948" max="7948" width="12" style="131" bestFit="1" customWidth="1"/>
    <col min="7949" max="8187" width="8.85546875" style="131"/>
    <col min="8188" max="8189" width="0" style="131" hidden="1" customWidth="1"/>
    <col min="8190" max="8190" width="12.140625" style="131" customWidth="1"/>
    <col min="8191" max="8191" width="33.85546875" style="131" customWidth="1"/>
    <col min="8192" max="8192" width="11.42578125" style="131" customWidth="1"/>
    <col min="8193" max="8194" width="0.140625" style="131" customWidth="1"/>
    <col min="8195" max="8197" width="12.7109375" style="131" customWidth="1"/>
    <col min="8198" max="8198" width="35.28515625" style="131" customWidth="1"/>
    <col min="8199" max="8203" width="12.7109375" style="131" customWidth="1"/>
    <col min="8204" max="8204" width="12" style="131" bestFit="1" customWidth="1"/>
    <col min="8205" max="8443" width="8.85546875" style="131"/>
    <col min="8444" max="8445" width="0" style="131" hidden="1" customWidth="1"/>
    <col min="8446" max="8446" width="12.140625" style="131" customWidth="1"/>
    <col min="8447" max="8447" width="33.85546875" style="131" customWidth="1"/>
    <col min="8448" max="8448" width="11.42578125" style="131" customWidth="1"/>
    <col min="8449" max="8450" width="0.140625" style="131" customWidth="1"/>
    <col min="8451" max="8453" width="12.7109375" style="131" customWidth="1"/>
    <col min="8454" max="8454" width="35.28515625" style="131" customWidth="1"/>
    <col min="8455" max="8459" width="12.7109375" style="131" customWidth="1"/>
    <col min="8460" max="8460" width="12" style="131" bestFit="1" customWidth="1"/>
    <col min="8461" max="8699" width="8.85546875" style="131"/>
    <col min="8700" max="8701" width="0" style="131" hidden="1" customWidth="1"/>
    <col min="8702" max="8702" width="12.140625" style="131" customWidth="1"/>
    <col min="8703" max="8703" width="33.85546875" style="131" customWidth="1"/>
    <col min="8704" max="8704" width="11.42578125" style="131" customWidth="1"/>
    <col min="8705" max="8706" width="0.140625" style="131" customWidth="1"/>
    <col min="8707" max="8709" width="12.7109375" style="131" customWidth="1"/>
    <col min="8710" max="8710" width="35.28515625" style="131" customWidth="1"/>
    <col min="8711" max="8715" width="12.7109375" style="131" customWidth="1"/>
    <col min="8716" max="8716" width="12" style="131" bestFit="1" customWidth="1"/>
    <col min="8717" max="8955" width="8.85546875" style="131"/>
    <col min="8956" max="8957" width="0" style="131" hidden="1" customWidth="1"/>
    <col min="8958" max="8958" width="12.140625" style="131" customWidth="1"/>
    <col min="8959" max="8959" width="33.85546875" style="131" customWidth="1"/>
    <col min="8960" max="8960" width="11.42578125" style="131" customWidth="1"/>
    <col min="8961" max="8962" width="0.140625" style="131" customWidth="1"/>
    <col min="8963" max="8965" width="12.7109375" style="131" customWidth="1"/>
    <col min="8966" max="8966" width="35.28515625" style="131" customWidth="1"/>
    <col min="8967" max="8971" width="12.7109375" style="131" customWidth="1"/>
    <col min="8972" max="8972" width="12" style="131" bestFit="1" customWidth="1"/>
    <col min="8973" max="9211" width="8.85546875" style="131"/>
    <col min="9212" max="9213" width="0" style="131" hidden="1" customWidth="1"/>
    <col min="9214" max="9214" width="12.140625" style="131" customWidth="1"/>
    <col min="9215" max="9215" width="33.85546875" style="131" customWidth="1"/>
    <col min="9216" max="9216" width="11.42578125" style="131" customWidth="1"/>
    <col min="9217" max="9218" width="0.140625" style="131" customWidth="1"/>
    <col min="9219" max="9221" width="12.7109375" style="131" customWidth="1"/>
    <col min="9222" max="9222" width="35.28515625" style="131" customWidth="1"/>
    <col min="9223" max="9227" width="12.7109375" style="131" customWidth="1"/>
    <col min="9228" max="9228" width="12" style="131" bestFit="1" customWidth="1"/>
    <col min="9229" max="9467" width="8.85546875" style="131"/>
    <col min="9468" max="9469" width="0" style="131" hidden="1" customWidth="1"/>
    <col min="9470" max="9470" width="12.140625" style="131" customWidth="1"/>
    <col min="9471" max="9471" width="33.85546875" style="131" customWidth="1"/>
    <col min="9472" max="9472" width="11.42578125" style="131" customWidth="1"/>
    <col min="9473" max="9474" width="0.140625" style="131" customWidth="1"/>
    <col min="9475" max="9477" width="12.7109375" style="131" customWidth="1"/>
    <col min="9478" max="9478" width="35.28515625" style="131" customWidth="1"/>
    <col min="9479" max="9483" width="12.7109375" style="131" customWidth="1"/>
    <col min="9484" max="9484" width="12" style="131" bestFit="1" customWidth="1"/>
    <col min="9485" max="9723" width="8.85546875" style="131"/>
    <col min="9724" max="9725" width="0" style="131" hidden="1" customWidth="1"/>
    <col min="9726" max="9726" width="12.140625" style="131" customWidth="1"/>
    <col min="9727" max="9727" width="33.85546875" style="131" customWidth="1"/>
    <col min="9728" max="9728" width="11.42578125" style="131" customWidth="1"/>
    <col min="9729" max="9730" width="0.140625" style="131" customWidth="1"/>
    <col min="9731" max="9733" width="12.7109375" style="131" customWidth="1"/>
    <col min="9734" max="9734" width="35.28515625" style="131" customWidth="1"/>
    <col min="9735" max="9739" width="12.7109375" style="131" customWidth="1"/>
    <col min="9740" max="9740" width="12" style="131" bestFit="1" customWidth="1"/>
    <col min="9741" max="9979" width="8.85546875" style="131"/>
    <col min="9980" max="9981" width="0" style="131" hidden="1" customWidth="1"/>
    <col min="9982" max="9982" width="12.140625" style="131" customWidth="1"/>
    <col min="9983" max="9983" width="33.85546875" style="131" customWidth="1"/>
    <col min="9984" max="9984" width="11.42578125" style="131" customWidth="1"/>
    <col min="9985" max="9986" width="0.140625" style="131" customWidth="1"/>
    <col min="9987" max="9989" width="12.7109375" style="131" customWidth="1"/>
    <col min="9990" max="9990" width="35.28515625" style="131" customWidth="1"/>
    <col min="9991" max="9995" width="12.7109375" style="131" customWidth="1"/>
    <col min="9996" max="9996" width="12" style="131" bestFit="1" customWidth="1"/>
    <col min="9997" max="10235" width="8.85546875" style="131"/>
    <col min="10236" max="10237" width="0" style="131" hidden="1" customWidth="1"/>
    <col min="10238" max="10238" width="12.140625" style="131" customWidth="1"/>
    <col min="10239" max="10239" width="33.85546875" style="131" customWidth="1"/>
    <col min="10240" max="10240" width="11.42578125" style="131" customWidth="1"/>
    <col min="10241" max="10242" width="0.140625" style="131" customWidth="1"/>
    <col min="10243" max="10245" width="12.7109375" style="131" customWidth="1"/>
    <col min="10246" max="10246" width="35.28515625" style="131" customWidth="1"/>
    <col min="10247" max="10251" width="12.7109375" style="131" customWidth="1"/>
    <col min="10252" max="10252" width="12" style="131" bestFit="1" customWidth="1"/>
    <col min="10253" max="10491" width="8.85546875" style="131"/>
    <col min="10492" max="10493" width="0" style="131" hidden="1" customWidth="1"/>
    <col min="10494" max="10494" width="12.140625" style="131" customWidth="1"/>
    <col min="10495" max="10495" width="33.85546875" style="131" customWidth="1"/>
    <col min="10496" max="10496" width="11.42578125" style="131" customWidth="1"/>
    <col min="10497" max="10498" width="0.140625" style="131" customWidth="1"/>
    <col min="10499" max="10501" width="12.7109375" style="131" customWidth="1"/>
    <col min="10502" max="10502" width="35.28515625" style="131" customWidth="1"/>
    <col min="10503" max="10507" width="12.7109375" style="131" customWidth="1"/>
    <col min="10508" max="10508" width="12" style="131" bestFit="1" customWidth="1"/>
    <col min="10509" max="10747" width="8.85546875" style="131"/>
    <col min="10748" max="10749" width="0" style="131" hidden="1" customWidth="1"/>
    <col min="10750" max="10750" width="12.140625" style="131" customWidth="1"/>
    <col min="10751" max="10751" width="33.85546875" style="131" customWidth="1"/>
    <col min="10752" max="10752" width="11.42578125" style="131" customWidth="1"/>
    <col min="10753" max="10754" width="0.140625" style="131" customWidth="1"/>
    <col min="10755" max="10757" width="12.7109375" style="131" customWidth="1"/>
    <col min="10758" max="10758" width="35.28515625" style="131" customWidth="1"/>
    <col min="10759" max="10763" width="12.7109375" style="131" customWidth="1"/>
    <col min="10764" max="10764" width="12" style="131" bestFit="1" customWidth="1"/>
    <col min="10765" max="11003" width="8.85546875" style="131"/>
    <col min="11004" max="11005" width="0" style="131" hidden="1" customWidth="1"/>
    <col min="11006" max="11006" width="12.140625" style="131" customWidth="1"/>
    <col min="11007" max="11007" width="33.85546875" style="131" customWidth="1"/>
    <col min="11008" max="11008" width="11.42578125" style="131" customWidth="1"/>
    <col min="11009" max="11010" width="0.140625" style="131" customWidth="1"/>
    <col min="11011" max="11013" width="12.7109375" style="131" customWidth="1"/>
    <col min="11014" max="11014" width="35.28515625" style="131" customWidth="1"/>
    <col min="11015" max="11019" width="12.7109375" style="131" customWidth="1"/>
    <col min="11020" max="11020" width="12" style="131" bestFit="1" customWidth="1"/>
    <col min="11021" max="11259" width="8.85546875" style="131"/>
    <col min="11260" max="11261" width="0" style="131" hidden="1" customWidth="1"/>
    <col min="11262" max="11262" width="12.140625" style="131" customWidth="1"/>
    <col min="11263" max="11263" width="33.85546875" style="131" customWidth="1"/>
    <col min="11264" max="11264" width="11.42578125" style="131" customWidth="1"/>
    <col min="11265" max="11266" width="0.140625" style="131" customWidth="1"/>
    <col min="11267" max="11269" width="12.7109375" style="131" customWidth="1"/>
    <col min="11270" max="11270" width="35.28515625" style="131" customWidth="1"/>
    <col min="11271" max="11275" width="12.7109375" style="131" customWidth="1"/>
    <col min="11276" max="11276" width="12" style="131" bestFit="1" customWidth="1"/>
    <col min="11277" max="11515" width="8.85546875" style="131"/>
    <col min="11516" max="11517" width="0" style="131" hidden="1" customWidth="1"/>
    <col min="11518" max="11518" width="12.140625" style="131" customWidth="1"/>
    <col min="11519" max="11519" width="33.85546875" style="131" customWidth="1"/>
    <col min="11520" max="11520" width="11.42578125" style="131" customWidth="1"/>
    <col min="11521" max="11522" width="0.140625" style="131" customWidth="1"/>
    <col min="11523" max="11525" width="12.7109375" style="131" customWidth="1"/>
    <col min="11526" max="11526" width="35.28515625" style="131" customWidth="1"/>
    <col min="11527" max="11531" width="12.7109375" style="131" customWidth="1"/>
    <col min="11532" max="11532" width="12" style="131" bestFit="1" customWidth="1"/>
    <col min="11533" max="11771" width="8.85546875" style="131"/>
    <col min="11772" max="11773" width="0" style="131" hidden="1" customWidth="1"/>
    <col min="11774" max="11774" width="12.140625" style="131" customWidth="1"/>
    <col min="11775" max="11775" width="33.85546875" style="131" customWidth="1"/>
    <col min="11776" max="11776" width="11.42578125" style="131" customWidth="1"/>
    <col min="11777" max="11778" width="0.140625" style="131" customWidth="1"/>
    <col min="11779" max="11781" width="12.7109375" style="131" customWidth="1"/>
    <col min="11782" max="11782" width="35.28515625" style="131" customWidth="1"/>
    <col min="11783" max="11787" width="12.7109375" style="131" customWidth="1"/>
    <col min="11788" max="11788" width="12" style="131" bestFit="1" customWidth="1"/>
    <col min="11789" max="12027" width="8.85546875" style="131"/>
    <col min="12028" max="12029" width="0" style="131" hidden="1" customWidth="1"/>
    <col min="12030" max="12030" width="12.140625" style="131" customWidth="1"/>
    <col min="12031" max="12031" width="33.85546875" style="131" customWidth="1"/>
    <col min="12032" max="12032" width="11.42578125" style="131" customWidth="1"/>
    <col min="12033" max="12034" width="0.140625" style="131" customWidth="1"/>
    <col min="12035" max="12037" width="12.7109375" style="131" customWidth="1"/>
    <col min="12038" max="12038" width="35.28515625" style="131" customWidth="1"/>
    <col min="12039" max="12043" width="12.7109375" style="131" customWidth="1"/>
    <col min="12044" max="12044" width="12" style="131" bestFit="1" customWidth="1"/>
    <col min="12045" max="12283" width="8.85546875" style="131"/>
    <col min="12284" max="12285" width="0" style="131" hidden="1" customWidth="1"/>
    <col min="12286" max="12286" width="12.140625" style="131" customWidth="1"/>
    <col min="12287" max="12287" width="33.85546875" style="131" customWidth="1"/>
    <col min="12288" max="12288" width="11.42578125" style="131" customWidth="1"/>
    <col min="12289" max="12290" width="0.140625" style="131" customWidth="1"/>
    <col min="12291" max="12293" width="12.7109375" style="131" customWidth="1"/>
    <col min="12294" max="12294" width="35.28515625" style="131" customWidth="1"/>
    <col min="12295" max="12299" width="12.7109375" style="131" customWidth="1"/>
    <col min="12300" max="12300" width="12" style="131" bestFit="1" customWidth="1"/>
    <col min="12301" max="12539" width="8.85546875" style="131"/>
    <col min="12540" max="12541" width="0" style="131" hidden="1" customWidth="1"/>
    <col min="12542" max="12542" width="12.140625" style="131" customWidth="1"/>
    <col min="12543" max="12543" width="33.85546875" style="131" customWidth="1"/>
    <col min="12544" max="12544" width="11.42578125" style="131" customWidth="1"/>
    <col min="12545" max="12546" width="0.140625" style="131" customWidth="1"/>
    <col min="12547" max="12549" width="12.7109375" style="131" customWidth="1"/>
    <col min="12550" max="12550" width="35.28515625" style="131" customWidth="1"/>
    <col min="12551" max="12555" width="12.7109375" style="131" customWidth="1"/>
    <col min="12556" max="12556" width="12" style="131" bestFit="1" customWidth="1"/>
    <col min="12557" max="12795" width="8.85546875" style="131"/>
    <col min="12796" max="12797" width="0" style="131" hidden="1" customWidth="1"/>
    <col min="12798" max="12798" width="12.140625" style="131" customWidth="1"/>
    <col min="12799" max="12799" width="33.85546875" style="131" customWidth="1"/>
    <col min="12800" max="12800" width="11.42578125" style="131" customWidth="1"/>
    <col min="12801" max="12802" width="0.140625" style="131" customWidth="1"/>
    <col min="12803" max="12805" width="12.7109375" style="131" customWidth="1"/>
    <col min="12806" max="12806" width="35.28515625" style="131" customWidth="1"/>
    <col min="12807" max="12811" width="12.7109375" style="131" customWidth="1"/>
    <col min="12812" max="12812" width="12" style="131" bestFit="1" customWidth="1"/>
    <col min="12813" max="13051" width="8.85546875" style="131"/>
    <col min="13052" max="13053" width="0" style="131" hidden="1" customWidth="1"/>
    <col min="13054" max="13054" width="12.140625" style="131" customWidth="1"/>
    <col min="13055" max="13055" width="33.85546875" style="131" customWidth="1"/>
    <col min="13056" max="13056" width="11.42578125" style="131" customWidth="1"/>
    <col min="13057" max="13058" width="0.140625" style="131" customWidth="1"/>
    <col min="13059" max="13061" width="12.7109375" style="131" customWidth="1"/>
    <col min="13062" max="13062" width="35.28515625" style="131" customWidth="1"/>
    <col min="13063" max="13067" width="12.7109375" style="131" customWidth="1"/>
    <col min="13068" max="13068" width="12" style="131" bestFit="1" customWidth="1"/>
    <col min="13069" max="13307" width="8.85546875" style="131"/>
    <col min="13308" max="13309" width="0" style="131" hidden="1" customWidth="1"/>
    <col min="13310" max="13310" width="12.140625" style="131" customWidth="1"/>
    <col min="13311" max="13311" width="33.85546875" style="131" customWidth="1"/>
    <col min="13312" max="13312" width="11.42578125" style="131" customWidth="1"/>
    <col min="13313" max="13314" width="0.140625" style="131" customWidth="1"/>
    <col min="13315" max="13317" width="12.7109375" style="131" customWidth="1"/>
    <col min="13318" max="13318" width="35.28515625" style="131" customWidth="1"/>
    <col min="13319" max="13323" width="12.7109375" style="131" customWidth="1"/>
    <col min="13324" max="13324" width="12" style="131" bestFit="1" customWidth="1"/>
    <col min="13325" max="13563" width="8.85546875" style="131"/>
    <col min="13564" max="13565" width="0" style="131" hidden="1" customWidth="1"/>
    <col min="13566" max="13566" width="12.140625" style="131" customWidth="1"/>
    <col min="13567" max="13567" width="33.85546875" style="131" customWidth="1"/>
    <col min="13568" max="13568" width="11.42578125" style="131" customWidth="1"/>
    <col min="13569" max="13570" width="0.140625" style="131" customWidth="1"/>
    <col min="13571" max="13573" width="12.7109375" style="131" customWidth="1"/>
    <col min="13574" max="13574" width="35.28515625" style="131" customWidth="1"/>
    <col min="13575" max="13579" width="12.7109375" style="131" customWidth="1"/>
    <col min="13580" max="13580" width="12" style="131" bestFit="1" customWidth="1"/>
    <col min="13581" max="13819" width="8.85546875" style="131"/>
    <col min="13820" max="13821" width="0" style="131" hidden="1" customWidth="1"/>
    <col min="13822" max="13822" width="12.140625" style="131" customWidth="1"/>
    <col min="13823" max="13823" width="33.85546875" style="131" customWidth="1"/>
    <col min="13824" max="13824" width="11.42578125" style="131" customWidth="1"/>
    <col min="13825" max="13826" width="0.140625" style="131" customWidth="1"/>
    <col min="13827" max="13829" width="12.7109375" style="131" customWidth="1"/>
    <col min="13830" max="13830" width="35.28515625" style="131" customWidth="1"/>
    <col min="13831" max="13835" width="12.7109375" style="131" customWidth="1"/>
    <col min="13836" max="13836" width="12" style="131" bestFit="1" customWidth="1"/>
    <col min="13837" max="14075" width="8.85546875" style="131"/>
    <col min="14076" max="14077" width="0" style="131" hidden="1" customWidth="1"/>
    <col min="14078" max="14078" width="12.140625" style="131" customWidth="1"/>
    <col min="14079" max="14079" width="33.85546875" style="131" customWidth="1"/>
    <col min="14080" max="14080" width="11.42578125" style="131" customWidth="1"/>
    <col min="14081" max="14082" width="0.140625" style="131" customWidth="1"/>
    <col min="14083" max="14085" width="12.7109375" style="131" customWidth="1"/>
    <col min="14086" max="14086" width="35.28515625" style="131" customWidth="1"/>
    <col min="14087" max="14091" width="12.7109375" style="131" customWidth="1"/>
    <col min="14092" max="14092" width="12" style="131" bestFit="1" customWidth="1"/>
    <col min="14093" max="14331" width="8.85546875" style="131"/>
    <col min="14332" max="14333" width="0" style="131" hidden="1" customWidth="1"/>
    <col min="14334" max="14334" width="12.140625" style="131" customWidth="1"/>
    <col min="14335" max="14335" width="33.85546875" style="131" customWidth="1"/>
    <col min="14336" max="14336" width="11.42578125" style="131" customWidth="1"/>
    <col min="14337" max="14338" width="0.140625" style="131" customWidth="1"/>
    <col min="14339" max="14341" width="12.7109375" style="131" customWidth="1"/>
    <col min="14342" max="14342" width="35.28515625" style="131" customWidth="1"/>
    <col min="14343" max="14347" width="12.7109375" style="131" customWidth="1"/>
    <col min="14348" max="14348" width="12" style="131" bestFit="1" customWidth="1"/>
    <col min="14349" max="14587" width="8.85546875" style="131"/>
    <col min="14588" max="14589" width="0" style="131" hidden="1" customWidth="1"/>
    <col min="14590" max="14590" width="12.140625" style="131" customWidth="1"/>
    <col min="14591" max="14591" width="33.85546875" style="131" customWidth="1"/>
    <col min="14592" max="14592" width="11.42578125" style="131" customWidth="1"/>
    <col min="14593" max="14594" width="0.140625" style="131" customWidth="1"/>
    <col min="14595" max="14597" width="12.7109375" style="131" customWidth="1"/>
    <col min="14598" max="14598" width="35.28515625" style="131" customWidth="1"/>
    <col min="14599" max="14603" width="12.7109375" style="131" customWidth="1"/>
    <col min="14604" max="14604" width="12" style="131" bestFit="1" customWidth="1"/>
    <col min="14605" max="14843" width="8.85546875" style="131"/>
    <col min="14844" max="14845" width="0" style="131" hidden="1" customWidth="1"/>
    <col min="14846" max="14846" width="12.140625" style="131" customWidth="1"/>
    <col min="14847" max="14847" width="33.85546875" style="131" customWidth="1"/>
    <col min="14848" max="14848" width="11.42578125" style="131" customWidth="1"/>
    <col min="14849" max="14850" width="0.140625" style="131" customWidth="1"/>
    <col min="14851" max="14853" width="12.7109375" style="131" customWidth="1"/>
    <col min="14854" max="14854" width="35.28515625" style="131" customWidth="1"/>
    <col min="14855" max="14859" width="12.7109375" style="131" customWidth="1"/>
    <col min="14860" max="14860" width="12" style="131" bestFit="1" customWidth="1"/>
    <col min="14861" max="15099" width="8.85546875" style="131"/>
    <col min="15100" max="15101" width="0" style="131" hidden="1" customWidth="1"/>
    <col min="15102" max="15102" width="12.140625" style="131" customWidth="1"/>
    <col min="15103" max="15103" width="33.85546875" style="131" customWidth="1"/>
    <col min="15104" max="15104" width="11.42578125" style="131" customWidth="1"/>
    <col min="15105" max="15106" width="0.140625" style="131" customWidth="1"/>
    <col min="15107" max="15109" width="12.7109375" style="131" customWidth="1"/>
    <col min="15110" max="15110" width="35.28515625" style="131" customWidth="1"/>
    <col min="15111" max="15115" width="12.7109375" style="131" customWidth="1"/>
    <col min="15116" max="15116" width="12" style="131" bestFit="1" customWidth="1"/>
    <col min="15117" max="15355" width="8.85546875" style="131"/>
    <col min="15356" max="15357" width="0" style="131" hidden="1" customWidth="1"/>
    <col min="15358" max="15358" width="12.140625" style="131" customWidth="1"/>
    <col min="15359" max="15359" width="33.85546875" style="131" customWidth="1"/>
    <col min="15360" max="15360" width="11.42578125" style="131" customWidth="1"/>
    <col min="15361" max="15362" width="0.140625" style="131" customWidth="1"/>
    <col min="15363" max="15365" width="12.7109375" style="131" customWidth="1"/>
    <col min="15366" max="15366" width="35.28515625" style="131" customWidth="1"/>
    <col min="15367" max="15371" width="12.7109375" style="131" customWidth="1"/>
    <col min="15372" max="15372" width="12" style="131" bestFit="1" customWidth="1"/>
    <col min="15373" max="15611" width="8.85546875" style="131"/>
    <col min="15612" max="15613" width="0" style="131" hidden="1" customWidth="1"/>
    <col min="15614" max="15614" width="12.140625" style="131" customWidth="1"/>
    <col min="15615" max="15615" width="33.85546875" style="131" customWidth="1"/>
    <col min="15616" max="15616" width="11.42578125" style="131" customWidth="1"/>
    <col min="15617" max="15618" width="0.140625" style="131" customWidth="1"/>
    <col min="15619" max="15621" width="12.7109375" style="131" customWidth="1"/>
    <col min="15622" max="15622" width="35.28515625" style="131" customWidth="1"/>
    <col min="15623" max="15627" width="12.7109375" style="131" customWidth="1"/>
    <col min="15628" max="15628" width="12" style="131" bestFit="1" customWidth="1"/>
    <col min="15629" max="15867" width="8.85546875" style="131"/>
    <col min="15868" max="15869" width="0" style="131" hidden="1" customWidth="1"/>
    <col min="15870" max="15870" width="12.140625" style="131" customWidth="1"/>
    <col min="15871" max="15871" width="33.85546875" style="131" customWidth="1"/>
    <col min="15872" max="15872" width="11.42578125" style="131" customWidth="1"/>
    <col min="15873" max="15874" width="0.140625" style="131" customWidth="1"/>
    <col min="15875" max="15877" width="12.7109375" style="131" customWidth="1"/>
    <col min="15878" max="15878" width="35.28515625" style="131" customWidth="1"/>
    <col min="15879" max="15883" width="12.7109375" style="131" customWidth="1"/>
    <col min="15884" max="15884" width="12" style="131" bestFit="1" customWidth="1"/>
    <col min="15885" max="16123" width="8.85546875" style="131"/>
    <col min="16124" max="16125" width="0" style="131" hidden="1" customWidth="1"/>
    <col min="16126" max="16126" width="12.140625" style="131" customWidth="1"/>
    <col min="16127" max="16127" width="33.85546875" style="131" customWidth="1"/>
    <col min="16128" max="16128" width="11.42578125" style="131" customWidth="1"/>
    <col min="16129" max="16130" width="0.140625" style="131" customWidth="1"/>
    <col min="16131" max="16133" width="12.7109375" style="131" customWidth="1"/>
    <col min="16134" max="16134" width="35.28515625" style="131" customWidth="1"/>
    <col min="16135" max="16139" width="12.7109375" style="131" customWidth="1"/>
    <col min="16140" max="16140" width="12" style="131" bestFit="1" customWidth="1"/>
    <col min="16141" max="16384" width="8.85546875" style="131"/>
  </cols>
  <sheetData>
    <row r="3" spans="1:11" ht="27.75" customHeight="1" thickBot="1" x14ac:dyDescent="0.25">
      <c r="A3" s="429" t="s">
        <v>124</v>
      </c>
      <c r="B3" s="429"/>
      <c r="C3" s="429"/>
      <c r="D3" s="429"/>
      <c r="E3" s="429"/>
      <c r="F3" s="429"/>
      <c r="G3" s="130"/>
      <c r="K3" s="132"/>
    </row>
    <row r="4" spans="1:11" ht="55.5" customHeight="1" thickTop="1" x14ac:dyDescent="0.2">
      <c r="A4" s="133" t="s">
        <v>57</v>
      </c>
      <c r="B4" s="134" t="s">
        <v>125</v>
      </c>
      <c r="C4" s="135" t="s">
        <v>126</v>
      </c>
      <c r="D4" s="136" t="s">
        <v>127</v>
      </c>
      <c r="E4" s="136" t="s">
        <v>208</v>
      </c>
      <c r="F4" s="243" t="s">
        <v>209</v>
      </c>
      <c r="I4" s="137"/>
    </row>
    <row r="5" spans="1:11" ht="38.25" x14ac:dyDescent="0.2">
      <c r="A5" s="138">
        <v>1</v>
      </c>
      <c r="B5" s="139">
        <v>2</v>
      </c>
      <c r="C5" s="140" t="s">
        <v>173</v>
      </c>
      <c r="D5" s="141">
        <v>850</v>
      </c>
      <c r="E5" s="141">
        <f>D5*B5</f>
        <v>1700</v>
      </c>
      <c r="F5" s="244">
        <f>E5*'Planilha de custos'!$P$17</f>
        <v>34000</v>
      </c>
      <c r="I5" s="137"/>
    </row>
    <row r="6" spans="1:11" ht="15" x14ac:dyDescent="0.2">
      <c r="A6" s="138">
        <v>2</v>
      </c>
      <c r="B6" s="139">
        <v>2</v>
      </c>
      <c r="C6" s="140" t="s">
        <v>174</v>
      </c>
      <c r="D6" s="141">
        <v>250</v>
      </c>
      <c r="E6" s="141">
        <f t="shared" ref="E6:E11" si="0">D6*B6</f>
        <v>500</v>
      </c>
      <c r="F6" s="244">
        <f>E6*'Planilha de custos'!$P$17</f>
        <v>10000</v>
      </c>
      <c r="I6" s="137"/>
    </row>
    <row r="7" spans="1:11" ht="15" x14ac:dyDescent="0.2">
      <c r="A7" s="138">
        <v>3</v>
      </c>
      <c r="B7" s="139">
        <v>1</v>
      </c>
      <c r="C7" s="140" t="s">
        <v>175</v>
      </c>
      <c r="D7" s="141">
        <v>65</v>
      </c>
      <c r="E7" s="141">
        <f t="shared" si="0"/>
        <v>65</v>
      </c>
      <c r="F7" s="244">
        <f>E7*'Planilha de custos'!$P$17</f>
        <v>1300</v>
      </c>
      <c r="I7" s="137"/>
    </row>
    <row r="8" spans="1:11" ht="15" x14ac:dyDescent="0.2">
      <c r="A8" s="138">
        <v>4</v>
      </c>
      <c r="B8" s="139">
        <v>1</v>
      </c>
      <c r="C8" s="140" t="s">
        <v>176</v>
      </c>
      <c r="D8" s="141">
        <v>89</v>
      </c>
      <c r="E8" s="141">
        <f t="shared" si="0"/>
        <v>89</v>
      </c>
      <c r="F8" s="244">
        <f>E8*'Planilha de custos'!$P$17</f>
        <v>1780</v>
      </c>
      <c r="I8" s="137"/>
    </row>
    <row r="9" spans="1:11" ht="15" x14ac:dyDescent="0.2">
      <c r="A9" s="138">
        <v>5</v>
      </c>
      <c r="B9" s="139">
        <v>2</v>
      </c>
      <c r="C9" s="140" t="s">
        <v>177</v>
      </c>
      <c r="D9" s="141">
        <v>25</v>
      </c>
      <c r="E9" s="141">
        <f t="shared" si="0"/>
        <v>50</v>
      </c>
      <c r="F9" s="244">
        <f>E9*'Planilha de custos'!$P$17</f>
        <v>1000</v>
      </c>
      <c r="I9" s="137"/>
    </row>
    <row r="10" spans="1:11" ht="15" x14ac:dyDescent="0.2">
      <c r="A10" s="138">
        <v>6</v>
      </c>
      <c r="B10" s="139">
        <v>2</v>
      </c>
      <c r="C10" s="142" t="s">
        <v>178</v>
      </c>
      <c r="D10" s="141">
        <v>320</v>
      </c>
      <c r="E10" s="141">
        <f t="shared" si="0"/>
        <v>640</v>
      </c>
      <c r="F10" s="244">
        <f>E10*'Planilha de custos'!$P$17</f>
        <v>12800</v>
      </c>
      <c r="I10" s="137"/>
    </row>
    <row r="11" spans="1:11" ht="15" x14ac:dyDescent="0.2">
      <c r="A11" s="138">
        <v>7</v>
      </c>
      <c r="B11" s="139">
        <v>1</v>
      </c>
      <c r="C11" s="142" t="s">
        <v>179</v>
      </c>
      <c r="D11" s="141">
        <v>350</v>
      </c>
      <c r="E11" s="141">
        <f t="shared" si="0"/>
        <v>350</v>
      </c>
      <c r="F11" s="244">
        <f>E11*'Planilha de custos'!$P$17</f>
        <v>7000</v>
      </c>
      <c r="I11" s="137"/>
    </row>
    <row r="12" spans="1:11" ht="15.75" customHeight="1" thickBot="1" x14ac:dyDescent="0.25">
      <c r="A12" s="426" t="s">
        <v>129</v>
      </c>
      <c r="B12" s="427"/>
      <c r="C12" s="427"/>
      <c r="D12" s="428"/>
      <c r="E12" s="246">
        <f>SUM(E5:E11)</f>
        <v>3394</v>
      </c>
      <c r="F12" s="245">
        <f>SUM(F5:F11)</f>
        <v>67880</v>
      </c>
      <c r="I12" s="143"/>
    </row>
    <row r="13" spans="1:11" ht="13.5" thickTop="1" x14ac:dyDescent="0.2">
      <c r="B13" s="143"/>
      <c r="C13" s="143"/>
      <c r="D13" s="143"/>
      <c r="E13" s="143"/>
      <c r="F13" s="143"/>
      <c r="K13" s="143"/>
    </row>
    <row r="14" spans="1:11" ht="27" customHeight="1" x14ac:dyDescent="0.2">
      <c r="A14" s="430" t="s">
        <v>130</v>
      </c>
      <c r="B14" s="430"/>
      <c r="C14" s="430"/>
      <c r="D14" s="430"/>
      <c r="E14" s="430"/>
      <c r="F14" s="430"/>
      <c r="G14" s="130"/>
      <c r="H14" s="144"/>
      <c r="I14" s="144"/>
      <c r="J14" s="144"/>
      <c r="K14" s="144"/>
    </row>
    <row r="15" spans="1:11" ht="38.25" x14ac:dyDescent="0.2">
      <c r="A15" s="138">
        <v>8</v>
      </c>
      <c r="B15" s="145">
        <v>2</v>
      </c>
      <c r="C15" s="146" t="s">
        <v>180</v>
      </c>
      <c r="D15" s="147">
        <v>800</v>
      </c>
      <c r="E15" s="141">
        <f>D15*B15</f>
        <v>1600</v>
      </c>
      <c r="F15" s="244">
        <f>E15*'Planilha de custos'!$P$17</f>
        <v>32000</v>
      </c>
      <c r="G15" s="144"/>
      <c r="H15" s="144"/>
      <c r="I15" s="144"/>
    </row>
    <row r="16" spans="1:11" ht="15" x14ac:dyDescent="0.2">
      <c r="A16" s="138">
        <v>9</v>
      </c>
      <c r="B16" s="145">
        <v>2</v>
      </c>
      <c r="C16" s="146" t="s">
        <v>174</v>
      </c>
      <c r="D16" s="147">
        <v>280</v>
      </c>
      <c r="E16" s="141">
        <f t="shared" ref="E16:E20" si="1">D16*B16</f>
        <v>560</v>
      </c>
      <c r="F16" s="244">
        <f>E16*'Planilha de custos'!$P$17</f>
        <v>11200</v>
      </c>
      <c r="G16" s="144"/>
      <c r="H16" s="144"/>
      <c r="I16" s="144"/>
    </row>
    <row r="17" spans="1:9" ht="15" x14ac:dyDescent="0.2">
      <c r="A17" s="138">
        <v>10</v>
      </c>
      <c r="B17" s="145">
        <v>1</v>
      </c>
      <c r="C17" s="146" t="s">
        <v>176</v>
      </c>
      <c r="D17" s="147">
        <v>89</v>
      </c>
      <c r="E17" s="141">
        <f t="shared" si="1"/>
        <v>89</v>
      </c>
      <c r="F17" s="244">
        <f>E17*'Planilha de custos'!$P$17</f>
        <v>1780</v>
      </c>
      <c r="G17" s="144"/>
      <c r="H17" s="144"/>
      <c r="I17" s="144"/>
    </row>
    <row r="18" spans="1:9" ht="15" x14ac:dyDescent="0.2">
      <c r="A18" s="138">
        <v>11</v>
      </c>
      <c r="B18" s="145">
        <v>2</v>
      </c>
      <c r="C18" s="146" t="s">
        <v>177</v>
      </c>
      <c r="D18" s="147">
        <v>40</v>
      </c>
      <c r="E18" s="141">
        <f t="shared" si="1"/>
        <v>80</v>
      </c>
      <c r="F18" s="244">
        <f>E18*'Planilha de custos'!$P$17</f>
        <v>1600</v>
      </c>
      <c r="G18" s="144"/>
      <c r="H18" s="144"/>
      <c r="I18" s="144"/>
    </row>
    <row r="19" spans="1:9" ht="15" x14ac:dyDescent="0.2">
      <c r="A19" s="138">
        <v>12</v>
      </c>
      <c r="B19" s="145">
        <v>2</v>
      </c>
      <c r="C19" s="148" t="s">
        <v>178</v>
      </c>
      <c r="D19" s="147">
        <v>320</v>
      </c>
      <c r="E19" s="141">
        <f t="shared" si="1"/>
        <v>640</v>
      </c>
      <c r="F19" s="244">
        <f>E19*'Planilha de custos'!$P$17</f>
        <v>12800</v>
      </c>
      <c r="G19" s="144"/>
      <c r="H19" s="144"/>
      <c r="I19" s="137"/>
    </row>
    <row r="20" spans="1:9" ht="15" x14ac:dyDescent="0.2">
      <c r="A20" s="138">
        <v>13</v>
      </c>
      <c r="B20" s="145">
        <v>1</v>
      </c>
      <c r="C20" s="148" t="s">
        <v>179</v>
      </c>
      <c r="D20" s="147">
        <v>350</v>
      </c>
      <c r="E20" s="141">
        <f t="shared" si="1"/>
        <v>350</v>
      </c>
      <c r="F20" s="244">
        <f>E20*'Planilha de custos'!$P$17</f>
        <v>7000</v>
      </c>
      <c r="G20" s="137"/>
      <c r="H20" s="137"/>
    </row>
    <row r="21" spans="1:9" ht="15.75" thickBot="1" x14ac:dyDescent="0.25">
      <c r="A21" s="426" t="s">
        <v>129</v>
      </c>
      <c r="B21" s="427"/>
      <c r="C21" s="427"/>
      <c r="D21" s="428"/>
      <c r="E21" s="248">
        <f>SUM(E15:E20)</f>
        <v>3319</v>
      </c>
      <c r="F21" s="247">
        <f>SUM(F15:F20)</f>
        <v>66380</v>
      </c>
    </row>
    <row r="22" spans="1:9" ht="13.5" thickTop="1" x14ac:dyDescent="0.2"/>
  </sheetData>
  <mergeCells count="4">
    <mergeCell ref="A12:D12"/>
    <mergeCell ref="A21:D21"/>
    <mergeCell ref="A3:F3"/>
    <mergeCell ref="A14:F14"/>
  </mergeCells>
  <pageMargins left="0.9055118110236221" right="0.51181102362204722" top="0.19685039370078741" bottom="0.39370078740157483" header="0.31496062992125984" footer="0.31496062992125984"/>
  <pageSetup paperSize="9" scale="75" orientation="landscape" verticalDpi="300" r:id="rId1"/>
  <headerFooter>
    <oddHeader>&amp;C&amp;"English111 Vivace BT,Regular"&amp;45Supremo Tribunal Federal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59999389629810485"/>
  </sheetPr>
  <dimension ref="B2:J11"/>
  <sheetViews>
    <sheetView showGridLines="0" zoomScale="120" zoomScaleNormal="120" zoomScaleSheetLayoutView="120" workbookViewId="0">
      <selection activeCell="B5" sqref="B5:F5"/>
    </sheetView>
  </sheetViews>
  <sheetFormatPr defaultRowHeight="12.75" x14ac:dyDescent="0.2"/>
  <cols>
    <col min="1" max="1" width="9.140625" style="131"/>
    <col min="2" max="2" width="7.140625" style="131" customWidth="1"/>
    <col min="3" max="3" width="14" style="131" customWidth="1"/>
    <col min="4" max="4" width="36.140625" style="131" customWidth="1"/>
    <col min="5" max="5" width="14.5703125" style="131" customWidth="1"/>
    <col min="6" max="6" width="20" style="131" customWidth="1"/>
    <col min="7" max="255" width="9.140625" style="131"/>
    <col min="256" max="256" width="16" style="131" customWidth="1"/>
    <col min="257" max="257" width="11.5703125" style="131" customWidth="1"/>
    <col min="258" max="258" width="45.42578125" style="131" customWidth="1"/>
    <col min="259" max="259" width="16.28515625" style="131" customWidth="1"/>
    <col min="260" max="260" width="9.140625" style="131" customWidth="1"/>
    <col min="261" max="511" width="9.140625" style="131"/>
    <col min="512" max="512" width="16" style="131" customWidth="1"/>
    <col min="513" max="513" width="11.5703125" style="131" customWidth="1"/>
    <col min="514" max="514" width="45.42578125" style="131" customWidth="1"/>
    <col min="515" max="515" width="16.28515625" style="131" customWidth="1"/>
    <col min="516" max="516" width="9.140625" style="131" customWidth="1"/>
    <col min="517" max="767" width="9.140625" style="131"/>
    <col min="768" max="768" width="16" style="131" customWidth="1"/>
    <col min="769" max="769" width="11.5703125" style="131" customWidth="1"/>
    <col min="770" max="770" width="45.42578125" style="131" customWidth="1"/>
    <col min="771" max="771" width="16.28515625" style="131" customWidth="1"/>
    <col min="772" max="772" width="9.140625" style="131" customWidth="1"/>
    <col min="773" max="1023" width="9.140625" style="131"/>
    <col min="1024" max="1024" width="16" style="131" customWidth="1"/>
    <col min="1025" max="1025" width="11.5703125" style="131" customWidth="1"/>
    <col min="1026" max="1026" width="45.42578125" style="131" customWidth="1"/>
    <col min="1027" max="1027" width="16.28515625" style="131" customWidth="1"/>
    <col min="1028" max="1028" width="9.140625" style="131" customWidth="1"/>
    <col min="1029" max="1279" width="9.140625" style="131"/>
    <col min="1280" max="1280" width="16" style="131" customWidth="1"/>
    <col min="1281" max="1281" width="11.5703125" style="131" customWidth="1"/>
    <col min="1282" max="1282" width="45.42578125" style="131" customWidth="1"/>
    <col min="1283" max="1283" width="16.28515625" style="131" customWidth="1"/>
    <col min="1284" max="1284" width="9.140625" style="131" customWidth="1"/>
    <col min="1285" max="1535" width="9.140625" style="131"/>
    <col min="1536" max="1536" width="16" style="131" customWidth="1"/>
    <col min="1537" max="1537" width="11.5703125" style="131" customWidth="1"/>
    <col min="1538" max="1538" width="45.42578125" style="131" customWidth="1"/>
    <col min="1539" max="1539" width="16.28515625" style="131" customWidth="1"/>
    <col min="1540" max="1540" width="9.140625" style="131" customWidth="1"/>
    <col min="1541" max="1791" width="9.140625" style="131"/>
    <col min="1792" max="1792" width="16" style="131" customWidth="1"/>
    <col min="1793" max="1793" width="11.5703125" style="131" customWidth="1"/>
    <col min="1794" max="1794" width="45.42578125" style="131" customWidth="1"/>
    <col min="1795" max="1795" width="16.28515625" style="131" customWidth="1"/>
    <col min="1796" max="1796" width="9.140625" style="131" customWidth="1"/>
    <col min="1797" max="2047" width="9.140625" style="131"/>
    <col min="2048" max="2048" width="16" style="131" customWidth="1"/>
    <col min="2049" max="2049" width="11.5703125" style="131" customWidth="1"/>
    <col min="2050" max="2050" width="45.42578125" style="131" customWidth="1"/>
    <col min="2051" max="2051" width="16.28515625" style="131" customWidth="1"/>
    <col min="2052" max="2052" width="9.140625" style="131" customWidth="1"/>
    <col min="2053" max="2303" width="9.140625" style="131"/>
    <col min="2304" max="2304" width="16" style="131" customWidth="1"/>
    <col min="2305" max="2305" width="11.5703125" style="131" customWidth="1"/>
    <col min="2306" max="2306" width="45.42578125" style="131" customWidth="1"/>
    <col min="2307" max="2307" width="16.28515625" style="131" customWidth="1"/>
    <col min="2308" max="2308" width="9.140625" style="131" customWidth="1"/>
    <col min="2309" max="2559" width="9.140625" style="131"/>
    <col min="2560" max="2560" width="16" style="131" customWidth="1"/>
    <col min="2561" max="2561" width="11.5703125" style="131" customWidth="1"/>
    <col min="2562" max="2562" width="45.42578125" style="131" customWidth="1"/>
    <col min="2563" max="2563" width="16.28515625" style="131" customWidth="1"/>
    <col min="2564" max="2564" width="9.140625" style="131" customWidth="1"/>
    <col min="2565" max="2815" width="9.140625" style="131"/>
    <col min="2816" max="2816" width="16" style="131" customWidth="1"/>
    <col min="2817" max="2817" width="11.5703125" style="131" customWidth="1"/>
    <col min="2818" max="2818" width="45.42578125" style="131" customWidth="1"/>
    <col min="2819" max="2819" width="16.28515625" style="131" customWidth="1"/>
    <col min="2820" max="2820" width="9.140625" style="131" customWidth="1"/>
    <col min="2821" max="3071" width="9.140625" style="131"/>
    <col min="3072" max="3072" width="16" style="131" customWidth="1"/>
    <col min="3073" max="3073" width="11.5703125" style="131" customWidth="1"/>
    <col min="3074" max="3074" width="45.42578125" style="131" customWidth="1"/>
    <col min="3075" max="3075" width="16.28515625" style="131" customWidth="1"/>
    <col min="3076" max="3076" width="9.140625" style="131" customWidth="1"/>
    <col min="3077" max="3327" width="9.140625" style="131"/>
    <col min="3328" max="3328" width="16" style="131" customWidth="1"/>
    <col min="3329" max="3329" width="11.5703125" style="131" customWidth="1"/>
    <col min="3330" max="3330" width="45.42578125" style="131" customWidth="1"/>
    <col min="3331" max="3331" width="16.28515625" style="131" customWidth="1"/>
    <col min="3332" max="3332" width="9.140625" style="131" customWidth="1"/>
    <col min="3333" max="3583" width="9.140625" style="131"/>
    <col min="3584" max="3584" width="16" style="131" customWidth="1"/>
    <col min="3585" max="3585" width="11.5703125" style="131" customWidth="1"/>
    <col min="3586" max="3586" width="45.42578125" style="131" customWidth="1"/>
    <col min="3587" max="3587" width="16.28515625" style="131" customWidth="1"/>
    <col min="3588" max="3588" width="9.140625" style="131" customWidth="1"/>
    <col min="3589" max="3839" width="9.140625" style="131"/>
    <col min="3840" max="3840" width="16" style="131" customWidth="1"/>
    <col min="3841" max="3841" width="11.5703125" style="131" customWidth="1"/>
    <col min="3842" max="3842" width="45.42578125" style="131" customWidth="1"/>
    <col min="3843" max="3843" width="16.28515625" style="131" customWidth="1"/>
    <col min="3844" max="3844" width="9.140625" style="131" customWidth="1"/>
    <col min="3845" max="4095" width="9.140625" style="131"/>
    <col min="4096" max="4096" width="16" style="131" customWidth="1"/>
    <col min="4097" max="4097" width="11.5703125" style="131" customWidth="1"/>
    <col min="4098" max="4098" width="45.42578125" style="131" customWidth="1"/>
    <col min="4099" max="4099" width="16.28515625" style="131" customWidth="1"/>
    <col min="4100" max="4100" width="9.140625" style="131" customWidth="1"/>
    <col min="4101" max="4351" width="9.140625" style="131"/>
    <col min="4352" max="4352" width="16" style="131" customWidth="1"/>
    <col min="4353" max="4353" width="11.5703125" style="131" customWidth="1"/>
    <col min="4354" max="4354" width="45.42578125" style="131" customWidth="1"/>
    <col min="4355" max="4355" width="16.28515625" style="131" customWidth="1"/>
    <col min="4356" max="4356" width="9.140625" style="131" customWidth="1"/>
    <col min="4357" max="4607" width="9.140625" style="131"/>
    <col min="4608" max="4608" width="16" style="131" customWidth="1"/>
    <col min="4609" max="4609" width="11.5703125" style="131" customWidth="1"/>
    <col min="4610" max="4610" width="45.42578125" style="131" customWidth="1"/>
    <col min="4611" max="4611" width="16.28515625" style="131" customWidth="1"/>
    <col min="4612" max="4612" width="9.140625" style="131" customWidth="1"/>
    <col min="4613" max="4863" width="9.140625" style="131"/>
    <col min="4864" max="4864" width="16" style="131" customWidth="1"/>
    <col min="4865" max="4865" width="11.5703125" style="131" customWidth="1"/>
    <col min="4866" max="4866" width="45.42578125" style="131" customWidth="1"/>
    <col min="4867" max="4867" width="16.28515625" style="131" customWidth="1"/>
    <col min="4868" max="4868" width="9.140625" style="131" customWidth="1"/>
    <col min="4869" max="5119" width="9.140625" style="131"/>
    <col min="5120" max="5120" width="16" style="131" customWidth="1"/>
    <col min="5121" max="5121" width="11.5703125" style="131" customWidth="1"/>
    <col min="5122" max="5122" width="45.42578125" style="131" customWidth="1"/>
    <col min="5123" max="5123" width="16.28515625" style="131" customWidth="1"/>
    <col min="5124" max="5124" width="9.140625" style="131" customWidth="1"/>
    <col min="5125" max="5375" width="9.140625" style="131"/>
    <col min="5376" max="5376" width="16" style="131" customWidth="1"/>
    <col min="5377" max="5377" width="11.5703125" style="131" customWidth="1"/>
    <col min="5378" max="5378" width="45.42578125" style="131" customWidth="1"/>
    <col min="5379" max="5379" width="16.28515625" style="131" customWidth="1"/>
    <col min="5380" max="5380" width="9.140625" style="131" customWidth="1"/>
    <col min="5381" max="5631" width="9.140625" style="131"/>
    <col min="5632" max="5632" width="16" style="131" customWidth="1"/>
    <col min="5633" max="5633" width="11.5703125" style="131" customWidth="1"/>
    <col min="5634" max="5634" width="45.42578125" style="131" customWidth="1"/>
    <col min="5635" max="5635" width="16.28515625" style="131" customWidth="1"/>
    <col min="5636" max="5636" width="9.140625" style="131" customWidth="1"/>
    <col min="5637" max="5887" width="9.140625" style="131"/>
    <col min="5888" max="5888" width="16" style="131" customWidth="1"/>
    <col min="5889" max="5889" width="11.5703125" style="131" customWidth="1"/>
    <col min="5890" max="5890" width="45.42578125" style="131" customWidth="1"/>
    <col min="5891" max="5891" width="16.28515625" style="131" customWidth="1"/>
    <col min="5892" max="5892" width="9.140625" style="131" customWidth="1"/>
    <col min="5893" max="6143" width="9.140625" style="131"/>
    <col min="6144" max="6144" width="16" style="131" customWidth="1"/>
    <col min="6145" max="6145" width="11.5703125" style="131" customWidth="1"/>
    <col min="6146" max="6146" width="45.42578125" style="131" customWidth="1"/>
    <col min="6147" max="6147" width="16.28515625" style="131" customWidth="1"/>
    <col min="6148" max="6148" width="9.140625" style="131" customWidth="1"/>
    <col min="6149" max="6399" width="9.140625" style="131"/>
    <col min="6400" max="6400" width="16" style="131" customWidth="1"/>
    <col min="6401" max="6401" width="11.5703125" style="131" customWidth="1"/>
    <col min="6402" max="6402" width="45.42578125" style="131" customWidth="1"/>
    <col min="6403" max="6403" width="16.28515625" style="131" customWidth="1"/>
    <col min="6404" max="6404" width="9.140625" style="131" customWidth="1"/>
    <col min="6405" max="6655" width="9.140625" style="131"/>
    <col min="6656" max="6656" width="16" style="131" customWidth="1"/>
    <col min="6657" max="6657" width="11.5703125" style="131" customWidth="1"/>
    <col min="6658" max="6658" width="45.42578125" style="131" customWidth="1"/>
    <col min="6659" max="6659" width="16.28515625" style="131" customWidth="1"/>
    <col min="6660" max="6660" width="9.140625" style="131" customWidth="1"/>
    <col min="6661" max="6911" width="9.140625" style="131"/>
    <col min="6912" max="6912" width="16" style="131" customWidth="1"/>
    <col min="6913" max="6913" width="11.5703125" style="131" customWidth="1"/>
    <col min="6914" max="6914" width="45.42578125" style="131" customWidth="1"/>
    <col min="6915" max="6915" width="16.28515625" style="131" customWidth="1"/>
    <col min="6916" max="6916" width="9.140625" style="131" customWidth="1"/>
    <col min="6917" max="7167" width="9.140625" style="131"/>
    <col min="7168" max="7168" width="16" style="131" customWidth="1"/>
    <col min="7169" max="7169" width="11.5703125" style="131" customWidth="1"/>
    <col min="7170" max="7170" width="45.42578125" style="131" customWidth="1"/>
    <col min="7171" max="7171" width="16.28515625" style="131" customWidth="1"/>
    <col min="7172" max="7172" width="9.140625" style="131" customWidth="1"/>
    <col min="7173" max="7423" width="9.140625" style="131"/>
    <col min="7424" max="7424" width="16" style="131" customWidth="1"/>
    <col min="7425" max="7425" width="11.5703125" style="131" customWidth="1"/>
    <col min="7426" max="7426" width="45.42578125" style="131" customWidth="1"/>
    <col min="7427" max="7427" width="16.28515625" style="131" customWidth="1"/>
    <col min="7428" max="7428" width="9.140625" style="131" customWidth="1"/>
    <col min="7429" max="7679" width="9.140625" style="131"/>
    <col min="7680" max="7680" width="16" style="131" customWidth="1"/>
    <col min="7681" max="7681" width="11.5703125" style="131" customWidth="1"/>
    <col min="7682" max="7682" width="45.42578125" style="131" customWidth="1"/>
    <col min="7683" max="7683" width="16.28515625" style="131" customWidth="1"/>
    <col min="7684" max="7684" width="9.140625" style="131" customWidth="1"/>
    <col min="7685" max="7935" width="9.140625" style="131"/>
    <col min="7936" max="7936" width="16" style="131" customWidth="1"/>
    <col min="7937" max="7937" width="11.5703125" style="131" customWidth="1"/>
    <col min="7938" max="7938" width="45.42578125" style="131" customWidth="1"/>
    <col min="7939" max="7939" width="16.28515625" style="131" customWidth="1"/>
    <col min="7940" max="7940" width="9.140625" style="131" customWidth="1"/>
    <col min="7941" max="8191" width="9.140625" style="131"/>
    <col min="8192" max="8192" width="16" style="131" customWidth="1"/>
    <col min="8193" max="8193" width="11.5703125" style="131" customWidth="1"/>
    <col min="8194" max="8194" width="45.42578125" style="131" customWidth="1"/>
    <col min="8195" max="8195" width="16.28515625" style="131" customWidth="1"/>
    <col min="8196" max="8196" width="9.140625" style="131" customWidth="1"/>
    <col min="8197" max="8447" width="9.140625" style="131"/>
    <col min="8448" max="8448" width="16" style="131" customWidth="1"/>
    <col min="8449" max="8449" width="11.5703125" style="131" customWidth="1"/>
    <col min="8450" max="8450" width="45.42578125" style="131" customWidth="1"/>
    <col min="8451" max="8451" width="16.28515625" style="131" customWidth="1"/>
    <col min="8452" max="8452" width="9.140625" style="131" customWidth="1"/>
    <col min="8453" max="8703" width="9.140625" style="131"/>
    <col min="8704" max="8704" width="16" style="131" customWidth="1"/>
    <col min="8705" max="8705" width="11.5703125" style="131" customWidth="1"/>
    <col min="8706" max="8706" width="45.42578125" style="131" customWidth="1"/>
    <col min="8707" max="8707" width="16.28515625" style="131" customWidth="1"/>
    <col min="8708" max="8708" width="9.140625" style="131" customWidth="1"/>
    <col min="8709" max="8959" width="9.140625" style="131"/>
    <col min="8960" max="8960" width="16" style="131" customWidth="1"/>
    <col min="8961" max="8961" width="11.5703125" style="131" customWidth="1"/>
    <col min="8962" max="8962" width="45.42578125" style="131" customWidth="1"/>
    <col min="8963" max="8963" width="16.28515625" style="131" customWidth="1"/>
    <col min="8964" max="8964" width="9.140625" style="131" customWidth="1"/>
    <col min="8965" max="9215" width="9.140625" style="131"/>
    <col min="9216" max="9216" width="16" style="131" customWidth="1"/>
    <col min="9217" max="9217" width="11.5703125" style="131" customWidth="1"/>
    <col min="9218" max="9218" width="45.42578125" style="131" customWidth="1"/>
    <col min="9219" max="9219" width="16.28515625" style="131" customWidth="1"/>
    <col min="9220" max="9220" width="9.140625" style="131" customWidth="1"/>
    <col min="9221" max="9471" width="9.140625" style="131"/>
    <col min="9472" max="9472" width="16" style="131" customWidth="1"/>
    <col min="9473" max="9473" width="11.5703125" style="131" customWidth="1"/>
    <col min="9474" max="9474" width="45.42578125" style="131" customWidth="1"/>
    <col min="9475" max="9475" width="16.28515625" style="131" customWidth="1"/>
    <col min="9476" max="9476" width="9.140625" style="131" customWidth="1"/>
    <col min="9477" max="9727" width="9.140625" style="131"/>
    <col min="9728" max="9728" width="16" style="131" customWidth="1"/>
    <col min="9729" max="9729" width="11.5703125" style="131" customWidth="1"/>
    <col min="9730" max="9730" width="45.42578125" style="131" customWidth="1"/>
    <col min="9731" max="9731" width="16.28515625" style="131" customWidth="1"/>
    <col min="9732" max="9732" width="9.140625" style="131" customWidth="1"/>
    <col min="9733" max="9983" width="9.140625" style="131"/>
    <col min="9984" max="9984" width="16" style="131" customWidth="1"/>
    <col min="9985" max="9985" width="11.5703125" style="131" customWidth="1"/>
    <col min="9986" max="9986" width="45.42578125" style="131" customWidth="1"/>
    <col min="9987" max="9987" width="16.28515625" style="131" customWidth="1"/>
    <col min="9988" max="9988" width="9.140625" style="131" customWidth="1"/>
    <col min="9989" max="10239" width="9.140625" style="131"/>
    <col min="10240" max="10240" width="16" style="131" customWidth="1"/>
    <col min="10241" max="10241" width="11.5703125" style="131" customWidth="1"/>
    <col min="10242" max="10242" width="45.42578125" style="131" customWidth="1"/>
    <col min="10243" max="10243" width="16.28515625" style="131" customWidth="1"/>
    <col min="10244" max="10244" width="9.140625" style="131" customWidth="1"/>
    <col min="10245" max="10495" width="9.140625" style="131"/>
    <col min="10496" max="10496" width="16" style="131" customWidth="1"/>
    <col min="10497" max="10497" width="11.5703125" style="131" customWidth="1"/>
    <col min="10498" max="10498" width="45.42578125" style="131" customWidth="1"/>
    <col min="10499" max="10499" width="16.28515625" style="131" customWidth="1"/>
    <col min="10500" max="10500" width="9.140625" style="131" customWidth="1"/>
    <col min="10501" max="10751" width="9.140625" style="131"/>
    <col min="10752" max="10752" width="16" style="131" customWidth="1"/>
    <col min="10753" max="10753" width="11.5703125" style="131" customWidth="1"/>
    <col min="10754" max="10754" width="45.42578125" style="131" customWidth="1"/>
    <col min="10755" max="10755" width="16.28515625" style="131" customWidth="1"/>
    <col min="10756" max="10756" width="9.140625" style="131" customWidth="1"/>
    <col min="10757" max="11007" width="9.140625" style="131"/>
    <col min="11008" max="11008" width="16" style="131" customWidth="1"/>
    <col min="11009" max="11009" width="11.5703125" style="131" customWidth="1"/>
    <col min="11010" max="11010" width="45.42578125" style="131" customWidth="1"/>
    <col min="11011" max="11011" width="16.28515625" style="131" customWidth="1"/>
    <col min="11012" max="11012" width="9.140625" style="131" customWidth="1"/>
    <col min="11013" max="11263" width="9.140625" style="131"/>
    <col min="11264" max="11264" width="16" style="131" customWidth="1"/>
    <col min="11265" max="11265" width="11.5703125" style="131" customWidth="1"/>
    <col min="11266" max="11266" width="45.42578125" style="131" customWidth="1"/>
    <col min="11267" max="11267" width="16.28515625" style="131" customWidth="1"/>
    <col min="11268" max="11268" width="9.140625" style="131" customWidth="1"/>
    <col min="11269" max="11519" width="9.140625" style="131"/>
    <col min="11520" max="11520" width="16" style="131" customWidth="1"/>
    <col min="11521" max="11521" width="11.5703125" style="131" customWidth="1"/>
    <col min="11522" max="11522" width="45.42578125" style="131" customWidth="1"/>
    <col min="11523" max="11523" width="16.28515625" style="131" customWidth="1"/>
    <col min="11524" max="11524" width="9.140625" style="131" customWidth="1"/>
    <col min="11525" max="11775" width="9.140625" style="131"/>
    <col min="11776" max="11776" width="16" style="131" customWidth="1"/>
    <col min="11777" max="11777" width="11.5703125" style="131" customWidth="1"/>
    <col min="11778" max="11778" width="45.42578125" style="131" customWidth="1"/>
    <col min="11779" max="11779" width="16.28515625" style="131" customWidth="1"/>
    <col min="11780" max="11780" width="9.140625" style="131" customWidth="1"/>
    <col min="11781" max="12031" width="9.140625" style="131"/>
    <col min="12032" max="12032" width="16" style="131" customWidth="1"/>
    <col min="12033" max="12033" width="11.5703125" style="131" customWidth="1"/>
    <col min="12034" max="12034" width="45.42578125" style="131" customWidth="1"/>
    <col min="12035" max="12035" width="16.28515625" style="131" customWidth="1"/>
    <col min="12036" max="12036" width="9.140625" style="131" customWidth="1"/>
    <col min="12037" max="12287" width="9.140625" style="131"/>
    <col min="12288" max="12288" width="16" style="131" customWidth="1"/>
    <col min="12289" max="12289" width="11.5703125" style="131" customWidth="1"/>
    <col min="12290" max="12290" width="45.42578125" style="131" customWidth="1"/>
    <col min="12291" max="12291" width="16.28515625" style="131" customWidth="1"/>
    <col min="12292" max="12292" width="9.140625" style="131" customWidth="1"/>
    <col min="12293" max="12543" width="9.140625" style="131"/>
    <col min="12544" max="12544" width="16" style="131" customWidth="1"/>
    <col min="12545" max="12545" width="11.5703125" style="131" customWidth="1"/>
    <col min="12546" max="12546" width="45.42578125" style="131" customWidth="1"/>
    <col min="12547" max="12547" width="16.28515625" style="131" customWidth="1"/>
    <col min="12548" max="12548" width="9.140625" style="131" customWidth="1"/>
    <col min="12549" max="12799" width="9.140625" style="131"/>
    <col min="12800" max="12800" width="16" style="131" customWidth="1"/>
    <col min="12801" max="12801" width="11.5703125" style="131" customWidth="1"/>
    <col min="12802" max="12802" width="45.42578125" style="131" customWidth="1"/>
    <col min="12803" max="12803" width="16.28515625" style="131" customWidth="1"/>
    <col min="12804" max="12804" width="9.140625" style="131" customWidth="1"/>
    <col min="12805" max="13055" width="9.140625" style="131"/>
    <col min="13056" max="13056" width="16" style="131" customWidth="1"/>
    <col min="13057" max="13057" width="11.5703125" style="131" customWidth="1"/>
    <col min="13058" max="13058" width="45.42578125" style="131" customWidth="1"/>
    <col min="13059" max="13059" width="16.28515625" style="131" customWidth="1"/>
    <col min="13060" max="13060" width="9.140625" style="131" customWidth="1"/>
    <col min="13061" max="13311" width="9.140625" style="131"/>
    <col min="13312" max="13312" width="16" style="131" customWidth="1"/>
    <col min="13313" max="13313" width="11.5703125" style="131" customWidth="1"/>
    <col min="13314" max="13314" width="45.42578125" style="131" customWidth="1"/>
    <col min="13315" max="13315" width="16.28515625" style="131" customWidth="1"/>
    <col min="13316" max="13316" width="9.140625" style="131" customWidth="1"/>
    <col min="13317" max="13567" width="9.140625" style="131"/>
    <col min="13568" max="13568" width="16" style="131" customWidth="1"/>
    <col min="13569" max="13569" width="11.5703125" style="131" customWidth="1"/>
    <col min="13570" max="13570" width="45.42578125" style="131" customWidth="1"/>
    <col min="13571" max="13571" width="16.28515625" style="131" customWidth="1"/>
    <col min="13572" max="13572" width="9.140625" style="131" customWidth="1"/>
    <col min="13573" max="13823" width="9.140625" style="131"/>
    <col min="13824" max="13824" width="16" style="131" customWidth="1"/>
    <col min="13825" max="13825" width="11.5703125" style="131" customWidth="1"/>
    <col min="13826" max="13826" width="45.42578125" style="131" customWidth="1"/>
    <col min="13827" max="13827" width="16.28515625" style="131" customWidth="1"/>
    <col min="13828" max="13828" width="9.140625" style="131" customWidth="1"/>
    <col min="13829" max="14079" width="9.140625" style="131"/>
    <col min="14080" max="14080" width="16" style="131" customWidth="1"/>
    <col min="14081" max="14081" width="11.5703125" style="131" customWidth="1"/>
    <col min="14082" max="14082" width="45.42578125" style="131" customWidth="1"/>
    <col min="14083" max="14083" width="16.28515625" style="131" customWidth="1"/>
    <col min="14084" max="14084" width="9.140625" style="131" customWidth="1"/>
    <col min="14085" max="14335" width="9.140625" style="131"/>
    <col min="14336" max="14336" width="16" style="131" customWidth="1"/>
    <col min="14337" max="14337" width="11.5703125" style="131" customWidth="1"/>
    <col min="14338" max="14338" width="45.42578125" style="131" customWidth="1"/>
    <col min="14339" max="14339" width="16.28515625" style="131" customWidth="1"/>
    <col min="14340" max="14340" width="9.140625" style="131" customWidth="1"/>
    <col min="14341" max="14591" width="9.140625" style="131"/>
    <col min="14592" max="14592" width="16" style="131" customWidth="1"/>
    <col min="14593" max="14593" width="11.5703125" style="131" customWidth="1"/>
    <col min="14594" max="14594" width="45.42578125" style="131" customWidth="1"/>
    <col min="14595" max="14595" width="16.28515625" style="131" customWidth="1"/>
    <col min="14596" max="14596" width="9.140625" style="131" customWidth="1"/>
    <col min="14597" max="14847" width="9.140625" style="131"/>
    <col min="14848" max="14848" width="16" style="131" customWidth="1"/>
    <col min="14849" max="14849" width="11.5703125" style="131" customWidth="1"/>
    <col min="14850" max="14850" width="45.42578125" style="131" customWidth="1"/>
    <col min="14851" max="14851" width="16.28515625" style="131" customWidth="1"/>
    <col min="14852" max="14852" width="9.140625" style="131" customWidth="1"/>
    <col min="14853" max="15103" width="9.140625" style="131"/>
    <col min="15104" max="15104" width="16" style="131" customWidth="1"/>
    <col min="15105" max="15105" width="11.5703125" style="131" customWidth="1"/>
    <col min="15106" max="15106" width="45.42578125" style="131" customWidth="1"/>
    <col min="15107" max="15107" width="16.28515625" style="131" customWidth="1"/>
    <col min="15108" max="15108" width="9.140625" style="131" customWidth="1"/>
    <col min="15109" max="15359" width="9.140625" style="131"/>
    <col min="15360" max="15360" width="16" style="131" customWidth="1"/>
    <col min="15361" max="15361" width="11.5703125" style="131" customWidth="1"/>
    <col min="15362" max="15362" width="45.42578125" style="131" customWidth="1"/>
    <col min="15363" max="15363" width="16.28515625" style="131" customWidth="1"/>
    <col min="15364" max="15364" width="9.140625" style="131" customWidth="1"/>
    <col min="15365" max="15615" width="9.140625" style="131"/>
    <col min="15616" max="15616" width="16" style="131" customWidth="1"/>
    <col min="15617" max="15617" width="11.5703125" style="131" customWidth="1"/>
    <col min="15618" max="15618" width="45.42578125" style="131" customWidth="1"/>
    <col min="15619" max="15619" width="16.28515625" style="131" customWidth="1"/>
    <col min="15620" max="15620" width="9.140625" style="131" customWidth="1"/>
    <col min="15621" max="15871" width="9.140625" style="131"/>
    <col min="15872" max="15872" width="16" style="131" customWidth="1"/>
    <col min="15873" max="15873" width="11.5703125" style="131" customWidth="1"/>
    <col min="15874" max="15874" width="45.42578125" style="131" customWidth="1"/>
    <col min="15875" max="15875" width="16.28515625" style="131" customWidth="1"/>
    <col min="15876" max="15876" width="9.140625" style="131" customWidth="1"/>
    <col min="15877" max="16127" width="9.140625" style="131"/>
    <col min="16128" max="16128" width="16" style="131" customWidth="1"/>
    <col min="16129" max="16129" width="11.5703125" style="131" customWidth="1"/>
    <col min="16130" max="16130" width="45.42578125" style="131" customWidth="1"/>
    <col min="16131" max="16131" width="16.28515625" style="131" customWidth="1"/>
    <col min="16132" max="16132" width="9.140625" style="131" customWidth="1"/>
    <col min="16133" max="16384" width="9.140625" style="131"/>
  </cols>
  <sheetData>
    <row r="2" spans="2:10" x14ac:dyDescent="0.2">
      <c r="B2" s="202" t="s">
        <v>0</v>
      </c>
    </row>
    <row r="5" spans="2:10" ht="13.5" thickBot="1" x14ac:dyDescent="0.25">
      <c r="B5" s="431" t="s">
        <v>131</v>
      </c>
      <c r="C5" s="431"/>
      <c r="D5" s="431"/>
      <c r="E5" s="431"/>
      <c r="F5" s="431"/>
    </row>
    <row r="6" spans="2:10" s="202" customFormat="1" ht="72" customHeight="1" thickTop="1" x14ac:dyDescent="0.2">
      <c r="B6" s="203" t="s">
        <v>57</v>
      </c>
      <c r="C6" s="204" t="s">
        <v>184</v>
      </c>
      <c r="D6" s="135" t="s">
        <v>132</v>
      </c>
      <c r="E6" s="205" t="s">
        <v>127</v>
      </c>
      <c r="F6" s="206" t="s">
        <v>128</v>
      </c>
    </row>
    <row r="7" spans="2:10" ht="19.5" customHeight="1" x14ac:dyDescent="0.2">
      <c r="B7" s="207">
        <v>1</v>
      </c>
      <c r="C7" s="208">
        <v>20</v>
      </c>
      <c r="D7" s="209" t="s">
        <v>183</v>
      </c>
      <c r="E7" s="210">
        <v>62.88</v>
      </c>
      <c r="F7" s="211">
        <f>E7*C7</f>
        <v>1257.6000000000001</v>
      </c>
      <c r="G7" s="432"/>
      <c r="H7" s="433"/>
      <c r="I7" s="433"/>
      <c r="J7" s="433"/>
    </row>
    <row r="8" spans="2:10" ht="19.5" customHeight="1" x14ac:dyDescent="0.2">
      <c r="B8" s="207">
        <v>2</v>
      </c>
      <c r="C8" s="208">
        <v>20</v>
      </c>
      <c r="D8" s="209" t="s">
        <v>187</v>
      </c>
      <c r="E8" s="210">
        <v>21.1</v>
      </c>
      <c r="F8" s="211">
        <f>E8*C8</f>
        <v>422</v>
      </c>
      <c r="G8" s="432"/>
      <c r="H8" s="433"/>
      <c r="I8" s="433"/>
      <c r="J8" s="433"/>
    </row>
    <row r="9" spans="2:10" ht="19.5" customHeight="1" x14ac:dyDescent="0.2">
      <c r="B9" s="207">
        <v>3</v>
      </c>
      <c r="C9" s="208">
        <v>50</v>
      </c>
      <c r="D9" s="209" t="s">
        <v>188</v>
      </c>
      <c r="E9" s="210">
        <v>26</v>
      </c>
      <c r="F9" s="211">
        <f>E9*C9</f>
        <v>1300</v>
      </c>
      <c r="G9" s="433"/>
      <c r="H9" s="433"/>
      <c r="I9" s="433"/>
      <c r="J9" s="433"/>
    </row>
    <row r="10" spans="2:10" ht="21" customHeight="1" thickBot="1" x14ac:dyDescent="0.25">
      <c r="B10" s="426" t="s">
        <v>185</v>
      </c>
      <c r="C10" s="427"/>
      <c r="D10" s="427"/>
      <c r="E10" s="428"/>
      <c r="F10" s="228">
        <f>SUM(F7:F9)</f>
        <v>2979.6000000000004</v>
      </c>
    </row>
    <row r="11" spans="2:10" ht="13.5" thickTop="1" x14ac:dyDescent="0.2">
      <c r="B11" s="131" t="s">
        <v>186</v>
      </c>
    </row>
  </sheetData>
  <mergeCells count="3">
    <mergeCell ref="B5:F5"/>
    <mergeCell ref="G7:J9"/>
    <mergeCell ref="B10:E10"/>
  </mergeCells>
  <pageMargins left="0.51181102362204722" right="0.51181102362204722" top="0.78740157480314965" bottom="0.78740157480314965" header="0.31496062992125984" footer="0.31496062992125984"/>
  <pageSetup paperSize="9" scale="86" orientation="portrait" r:id="rId1"/>
  <headerFooter>
    <oddHeader>&amp;C&amp;"English111 Vivace BT,Regular"&amp;45Supremo Tribunal Federal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  <pageSetUpPr fitToPage="1"/>
  </sheetPr>
  <dimension ref="B5:I33"/>
  <sheetViews>
    <sheetView showGridLines="0" zoomScaleNormal="100" zoomScaleSheetLayoutView="90" workbookViewId="0">
      <selection activeCell="B5" sqref="B5:I5"/>
    </sheetView>
  </sheetViews>
  <sheetFormatPr defaultColWidth="8.85546875" defaultRowHeight="12.75" x14ac:dyDescent="0.2"/>
  <cols>
    <col min="1" max="1" width="8.85546875" style="214"/>
    <col min="2" max="2" width="7" style="214" customWidth="1"/>
    <col min="3" max="3" width="8.28515625" style="214" customWidth="1"/>
    <col min="4" max="4" width="44.85546875" style="214" customWidth="1"/>
    <col min="5" max="5" width="9.28515625" style="214" bestFit="1" customWidth="1"/>
    <col min="6" max="6" width="16.5703125" style="214" customWidth="1"/>
    <col min="7" max="8" width="18.85546875" style="214" customWidth="1"/>
    <col min="9" max="9" width="25.42578125" style="214" customWidth="1"/>
    <col min="10" max="16384" width="8.85546875" style="214"/>
  </cols>
  <sheetData>
    <row r="5" spans="2:9" ht="39.75" customHeight="1" thickBot="1" x14ac:dyDescent="0.3">
      <c r="B5" s="434" t="s">
        <v>190</v>
      </c>
      <c r="C5" s="435"/>
      <c r="D5" s="435"/>
      <c r="E5" s="435"/>
      <c r="F5" s="435"/>
      <c r="G5" s="435"/>
      <c r="H5" s="435"/>
      <c r="I5" s="435"/>
    </row>
    <row r="6" spans="2:9" ht="39" thickTop="1" x14ac:dyDescent="0.2">
      <c r="B6" s="203" t="s">
        <v>57</v>
      </c>
      <c r="C6" s="205" t="s">
        <v>18</v>
      </c>
      <c r="D6" s="205" t="s">
        <v>132</v>
      </c>
      <c r="E6" s="205" t="s">
        <v>133</v>
      </c>
      <c r="F6" s="205" t="s">
        <v>134</v>
      </c>
      <c r="G6" s="215" t="s">
        <v>191</v>
      </c>
      <c r="H6" s="215" t="s">
        <v>192</v>
      </c>
      <c r="I6" s="206" t="s">
        <v>193</v>
      </c>
    </row>
    <row r="7" spans="2:9" ht="26.25" customHeight="1" x14ac:dyDescent="0.2">
      <c r="B7" s="216">
        <v>1</v>
      </c>
      <c r="C7" s="217">
        <v>25</v>
      </c>
      <c r="D7" s="218" t="s">
        <v>194</v>
      </c>
      <c r="E7" s="219">
        <v>5</v>
      </c>
      <c r="F7" s="220">
        <v>0.2</v>
      </c>
      <c r="G7" s="221">
        <v>2580</v>
      </c>
      <c r="H7" s="221">
        <f>G7*C7</f>
        <v>64500</v>
      </c>
      <c r="I7" s="222">
        <f>H7/E7</f>
        <v>12900</v>
      </c>
    </row>
    <row r="8" spans="2:9" ht="26.25" customHeight="1" x14ac:dyDescent="0.2">
      <c r="B8" s="216">
        <v>2</v>
      </c>
      <c r="C8" s="223">
        <v>1</v>
      </c>
      <c r="D8" s="224" t="s">
        <v>195</v>
      </c>
      <c r="E8" s="219">
        <v>5</v>
      </c>
      <c r="F8" s="220">
        <v>0.2</v>
      </c>
      <c r="G8" s="221">
        <v>54250</v>
      </c>
      <c r="H8" s="221">
        <f t="shared" ref="H8" si="0">G8*C8</f>
        <v>54250</v>
      </c>
      <c r="I8" s="222">
        <f t="shared" ref="I8" si="1">H8/E8</f>
        <v>10850</v>
      </c>
    </row>
    <row r="9" spans="2:9" ht="29.25" customHeight="1" thickBot="1" x14ac:dyDescent="0.25">
      <c r="B9" s="436" t="s">
        <v>135</v>
      </c>
      <c r="C9" s="437"/>
      <c r="D9" s="437"/>
      <c r="E9" s="437"/>
      <c r="F9" s="437"/>
      <c r="G9" s="437"/>
      <c r="H9" s="438"/>
      <c r="I9" s="225">
        <f>SUM(I7:I8)</f>
        <v>23750</v>
      </c>
    </row>
    <row r="10" spans="2:9" ht="13.5" thickTop="1" x14ac:dyDescent="0.2"/>
    <row r="15" spans="2:9" x14ac:dyDescent="0.2">
      <c r="F15" s="226"/>
    </row>
    <row r="26" spans="6:6" x14ac:dyDescent="0.2">
      <c r="F26" s="226"/>
    </row>
    <row r="30" spans="6:6" x14ac:dyDescent="0.2">
      <c r="F30" s="226"/>
    </row>
    <row r="31" spans="6:6" x14ac:dyDescent="0.2">
      <c r="F31" s="226"/>
    </row>
    <row r="32" spans="6:6" x14ac:dyDescent="0.2">
      <c r="F32" s="226"/>
    </row>
    <row r="33" spans="6:6" x14ac:dyDescent="0.2">
      <c r="F33" s="226"/>
    </row>
  </sheetData>
  <mergeCells count="2">
    <mergeCell ref="B5:I5"/>
    <mergeCell ref="B9:H9"/>
  </mergeCells>
  <pageMargins left="0.511811024" right="0.511811024" top="0.78740157499999996" bottom="0.78740157499999996" header="0.31496062000000002" footer="0.31496062000000002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0.79998168889431442"/>
    <pageSetUpPr fitToPage="1"/>
  </sheetPr>
  <dimension ref="A2:S37"/>
  <sheetViews>
    <sheetView showGridLines="0" zoomScale="90" zoomScaleNormal="90" zoomScaleSheetLayoutView="80" zoomScalePageLayoutView="70" workbookViewId="0">
      <selection activeCell="B5" sqref="B5:B9"/>
    </sheetView>
  </sheetViews>
  <sheetFormatPr defaultRowHeight="15" x14ac:dyDescent="0.2"/>
  <cols>
    <col min="1" max="1" width="9.140625" style="33"/>
    <col min="2" max="2" width="34.42578125" style="33" customWidth="1"/>
    <col min="3" max="3" width="14.28515625" style="33" customWidth="1"/>
    <col min="4" max="4" width="16.42578125" style="33" customWidth="1"/>
    <col min="5" max="5" width="14.5703125" style="33" customWidth="1"/>
    <col min="6" max="6" width="16.7109375" style="33" customWidth="1"/>
    <col min="7" max="7" width="16" style="33" customWidth="1"/>
    <col min="8" max="8" width="16.85546875" style="33" customWidth="1"/>
    <col min="9" max="9" width="17.42578125" style="33" customWidth="1"/>
    <col min="10" max="10" width="19.85546875" style="33" customWidth="1"/>
    <col min="11" max="11" width="15.85546875" style="33" customWidth="1"/>
    <col min="12" max="12" width="16.85546875" style="33" customWidth="1"/>
    <col min="13" max="13" width="22.5703125" style="33" customWidth="1"/>
    <col min="14" max="15" width="17.7109375" style="33" customWidth="1"/>
    <col min="16" max="16" width="19.5703125" style="33" customWidth="1"/>
    <col min="17" max="17" width="3.42578125" style="33" customWidth="1"/>
    <col min="18" max="18" width="23.28515625" style="33" customWidth="1"/>
    <col min="19" max="19" width="25.140625" style="33" customWidth="1"/>
    <col min="20" max="20" width="9.140625" style="33"/>
    <col min="21" max="21" width="21.140625" style="33" bestFit="1" customWidth="1"/>
    <col min="22" max="16384" width="9.140625" style="33"/>
  </cols>
  <sheetData>
    <row r="2" spans="1:19" ht="15.75" thickBot="1" x14ac:dyDescent="0.25"/>
    <row r="3" spans="1:19" ht="16.5" customHeight="1" thickTop="1" x14ac:dyDescent="0.2">
      <c r="A3" s="34"/>
      <c r="B3" s="439" t="s">
        <v>136</v>
      </c>
      <c r="C3" s="440"/>
      <c r="D3" s="440"/>
      <c r="E3" s="440"/>
      <c r="F3" s="440"/>
      <c r="G3" s="440"/>
      <c r="H3" s="440"/>
      <c r="I3" s="440"/>
      <c r="J3" s="440"/>
      <c r="K3" s="440"/>
      <c r="L3" s="440"/>
      <c r="M3" s="440"/>
      <c r="N3" s="440"/>
      <c r="O3" s="440"/>
      <c r="P3" s="441"/>
    </row>
    <row r="4" spans="1:19" ht="15" customHeight="1" x14ac:dyDescent="0.2">
      <c r="A4" s="34"/>
      <c r="B4" s="442"/>
      <c r="C4" s="443"/>
      <c r="D4" s="443"/>
      <c r="E4" s="443"/>
      <c r="F4" s="443"/>
      <c r="G4" s="443"/>
      <c r="H4" s="443"/>
      <c r="I4" s="443"/>
      <c r="J4" s="443"/>
      <c r="K4" s="443"/>
      <c r="L4" s="443"/>
      <c r="M4" s="443"/>
      <c r="N4" s="443"/>
      <c r="O4" s="443"/>
      <c r="P4" s="444"/>
      <c r="Q4" s="35"/>
      <c r="R4" s="35"/>
      <c r="S4" s="35"/>
    </row>
    <row r="5" spans="1:19" ht="27.75" customHeight="1" x14ac:dyDescent="0.2">
      <c r="B5" s="445" t="s">
        <v>39</v>
      </c>
      <c r="C5" s="446" t="s">
        <v>137</v>
      </c>
      <c r="D5" s="446"/>
      <c r="E5" s="446"/>
      <c r="F5" s="446"/>
      <c r="G5" s="446"/>
      <c r="H5" s="446"/>
      <c r="I5" s="446" t="s">
        <v>138</v>
      </c>
      <c r="J5" s="446"/>
      <c r="K5" s="446"/>
      <c r="L5" s="447" t="s">
        <v>5</v>
      </c>
      <c r="M5" s="447" t="s">
        <v>139</v>
      </c>
      <c r="N5" s="447" t="s">
        <v>7</v>
      </c>
      <c r="O5" s="447" t="s">
        <v>197</v>
      </c>
      <c r="P5" s="448" t="s">
        <v>140</v>
      </c>
      <c r="Q5" s="36"/>
    </row>
    <row r="6" spans="1:19" ht="101.25" customHeight="1" x14ac:dyDescent="0.2">
      <c r="B6" s="445"/>
      <c r="C6" s="447" t="s">
        <v>11</v>
      </c>
      <c r="D6" s="447" t="s">
        <v>141</v>
      </c>
      <c r="E6" s="447" t="s">
        <v>111</v>
      </c>
      <c r="F6" s="447" t="s">
        <v>142</v>
      </c>
      <c r="G6" s="447" t="s">
        <v>143</v>
      </c>
      <c r="H6" s="447" t="s">
        <v>144</v>
      </c>
      <c r="I6" s="447" t="s">
        <v>145</v>
      </c>
      <c r="J6" s="447" t="s">
        <v>146</v>
      </c>
      <c r="K6" s="447" t="s">
        <v>147</v>
      </c>
      <c r="L6" s="447"/>
      <c r="M6" s="447"/>
      <c r="N6" s="447"/>
      <c r="O6" s="447"/>
      <c r="P6" s="448"/>
      <c r="Q6" s="36"/>
    </row>
    <row r="7" spans="1:19" ht="18" customHeight="1" x14ac:dyDescent="0.2">
      <c r="B7" s="445"/>
      <c r="C7" s="447"/>
      <c r="D7" s="447"/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8"/>
      <c r="Q7" s="36"/>
    </row>
    <row r="8" spans="1:19" ht="50.25" customHeight="1" x14ac:dyDescent="0.2">
      <c r="B8" s="445"/>
      <c r="C8" s="447"/>
      <c r="D8" s="447"/>
      <c r="E8" s="447"/>
      <c r="F8" s="447"/>
      <c r="G8" s="447"/>
      <c r="H8" s="447"/>
      <c r="I8" s="447"/>
      <c r="J8" s="447"/>
      <c r="K8" s="447"/>
      <c r="L8" s="447"/>
      <c r="M8" s="447"/>
      <c r="N8" s="447"/>
      <c r="O8" s="447"/>
      <c r="P8" s="448"/>
      <c r="Q8" s="36"/>
    </row>
    <row r="9" spans="1:19" ht="42.75" customHeight="1" x14ac:dyDescent="0.2">
      <c r="B9" s="445"/>
      <c r="C9" s="447"/>
      <c r="D9" s="123">
        <f>'Encargos Sociais'!D18</f>
        <v>8.3299999999999999E-2</v>
      </c>
      <c r="E9" s="123">
        <f>'Encargos Sociais'!D19</f>
        <v>8.3299999999999999E-2</v>
      </c>
      <c r="F9" s="123">
        <f>'Encargos Sociais'!D20</f>
        <v>2.7799999999999998E-2</v>
      </c>
      <c r="G9" s="123">
        <f>'Encargos Sociais'!D15</f>
        <v>0.39800000000000008</v>
      </c>
      <c r="H9" s="447"/>
      <c r="I9" s="123" t="s">
        <v>20</v>
      </c>
      <c r="J9" s="123" t="s">
        <v>20</v>
      </c>
      <c r="K9" s="447"/>
      <c r="L9" s="447"/>
      <c r="M9" s="124">
        <f>'Encargos Sociais'!K14</f>
        <v>0.31020408163265345</v>
      </c>
      <c r="N9" s="447"/>
      <c r="O9" s="447"/>
      <c r="P9" s="448"/>
    </row>
    <row r="10" spans="1:19" ht="33" customHeight="1" x14ac:dyDescent="0.2">
      <c r="A10" s="37"/>
      <c r="B10" s="151" t="str">
        <f>'Planilha de custos'!A14 &amp;" " &amp; 'Planilha de custos'!C14</f>
        <v>Agentes de Portaria
 CBO 5174-10 44hs - diurno</v>
      </c>
      <c r="C10" s="152">
        <f>'Planilha de custos'!F14</f>
        <v>1543.91</v>
      </c>
      <c r="D10" s="153">
        <f>C10*$D$9</f>
        <v>128.60770300000001</v>
      </c>
      <c r="E10" s="153">
        <f>C10*$E$9</f>
        <v>128.60770300000001</v>
      </c>
      <c r="F10" s="152">
        <f>$F$9*C10</f>
        <v>42.920698000000002</v>
      </c>
      <c r="G10" s="152">
        <f>($G$9*D10)+(E10*$G$9)</f>
        <v>102.37173158800003</v>
      </c>
      <c r="H10" s="152">
        <f>C10+D10+F10+G10+E10</f>
        <v>1946.4178355879999</v>
      </c>
      <c r="I10" s="152">
        <f>'AA AT HORAS'!U15</f>
        <v>772.66666666666663</v>
      </c>
      <c r="J10" s="152">
        <f>'AA AT HORAS'!M39</f>
        <v>131.03206666666665</v>
      </c>
      <c r="K10" s="152">
        <f>I10+J10</f>
        <v>903.69873333333328</v>
      </c>
      <c r="L10" s="152">
        <f>H10+K10</f>
        <v>2850.1165689213331</v>
      </c>
      <c r="M10" s="152">
        <f>L10*$M$9</f>
        <v>884.11779280825135</v>
      </c>
      <c r="N10" s="152">
        <f>L10+M10</f>
        <v>3734.2343617295846</v>
      </c>
      <c r="O10" s="232">
        <f>N10/30</f>
        <v>124.47447872431948</v>
      </c>
      <c r="P10" s="154">
        <f>N10/'AA AT HORAS'!S$31</f>
        <v>16.973792553316294</v>
      </c>
      <c r="Q10" s="38"/>
    </row>
    <row r="11" spans="1:19" ht="33" customHeight="1" x14ac:dyDescent="0.2">
      <c r="A11" s="37"/>
      <c r="B11" s="151" t="str">
        <f>'Planilha de custos'!A14 &amp;" " &amp; 'Planilha de custos'!C15</f>
        <v>Agentes de Portaria
 CBO 5174-10 12x36hs - diurno</v>
      </c>
      <c r="C11" s="152">
        <f>'Planilha de custos'!F15</f>
        <v>1543.91</v>
      </c>
      <c r="D11" s="153">
        <f>C11*$D$9</f>
        <v>128.60770300000001</v>
      </c>
      <c r="E11" s="153">
        <f>C11*$E$9</f>
        <v>128.60770300000001</v>
      </c>
      <c r="F11" s="152">
        <f>$F$9*C11</f>
        <v>42.920698000000002</v>
      </c>
      <c r="G11" s="152">
        <f>($G$9*D11)+(E11*$G$9)</f>
        <v>102.37173158800003</v>
      </c>
      <c r="H11" s="152">
        <f>C11+D11+F11+G11+E11</f>
        <v>1946.4178355879999</v>
      </c>
      <c r="I11" s="152">
        <f>'AA AT HORAS'!U16</f>
        <v>576.33333333333337</v>
      </c>
      <c r="J11" s="152">
        <f>'AA AT HORAS'!M40</f>
        <v>74.198733333333323</v>
      </c>
      <c r="K11" s="152">
        <f>I11+J11</f>
        <v>650.53206666666665</v>
      </c>
      <c r="L11" s="152">
        <f>H11+K11</f>
        <v>2596.9499022546665</v>
      </c>
      <c r="M11" s="152">
        <f>L11*$M$9</f>
        <v>805.58445947491794</v>
      </c>
      <c r="N11" s="152">
        <f>L11+M11</f>
        <v>3402.5343617295844</v>
      </c>
      <c r="O11" s="232">
        <f t="shared" ref="O11:O12" si="0">N11/30</f>
        <v>113.41781205765281</v>
      </c>
      <c r="P11" s="154">
        <f>N11/'AA AT HORAS'!S$31</f>
        <v>15.466065280589019</v>
      </c>
      <c r="Q11" s="38"/>
    </row>
    <row r="12" spans="1:19" ht="35.25" customHeight="1" thickBot="1" x14ac:dyDescent="0.25">
      <c r="A12" s="37"/>
      <c r="B12" s="233" t="str">
        <f>'Planilha de custos'!A14 &amp;" " &amp; 'Planilha de custos'!C16</f>
        <v>Agentes de Portaria
 CBO 5174-10 12x36hs - noturno</v>
      </c>
      <c r="C12" s="125">
        <f>'Planilha de custos'!F16</f>
        <v>1733.3898636363638</v>
      </c>
      <c r="D12" s="127">
        <f>C12*$D$9</f>
        <v>144.3913756409091</v>
      </c>
      <c r="E12" s="127">
        <f>C12*$E$9</f>
        <v>144.3913756409091</v>
      </c>
      <c r="F12" s="125">
        <f>$F$9*C12</f>
        <v>48.188238209090912</v>
      </c>
      <c r="G12" s="125">
        <f>($G$9*D12)+(E12*$G$9)</f>
        <v>114.93553501016366</v>
      </c>
      <c r="H12" s="125">
        <f>C12+D12+F12+G12+E12</f>
        <v>2185.2963881374367</v>
      </c>
      <c r="I12" s="125">
        <f>'AA AT HORAS'!U17</f>
        <v>576.33333333333337</v>
      </c>
      <c r="J12" s="125">
        <f>'AA AT HORAS'!M41</f>
        <v>74.198733333333323</v>
      </c>
      <c r="K12" s="125">
        <f>I12+J12</f>
        <v>650.53206666666665</v>
      </c>
      <c r="L12" s="125">
        <f>H12+K12</f>
        <v>2835.8284548041033</v>
      </c>
      <c r="M12" s="125">
        <f>L12*$M$9</f>
        <v>879.68556149025358</v>
      </c>
      <c r="N12" s="125">
        <f>L12+M12</f>
        <v>3715.5140162943571</v>
      </c>
      <c r="O12" s="125">
        <f t="shared" si="0"/>
        <v>123.85046720981191</v>
      </c>
      <c r="P12" s="126">
        <f>N12/'AA AT HORAS'!S$31</f>
        <v>16.888700074065259</v>
      </c>
      <c r="Q12" s="38"/>
    </row>
    <row r="13" spans="1:19" ht="15.75" thickTop="1" x14ac:dyDescent="0.2">
      <c r="S13" s="38"/>
    </row>
    <row r="14" spans="1:19" ht="15.75" customHeight="1" x14ac:dyDescent="0.2"/>
    <row r="15" spans="1:19" ht="15" customHeight="1" x14ac:dyDescent="0.2"/>
    <row r="16" spans="1:19" ht="15" customHeight="1" x14ac:dyDescent="0.2"/>
    <row r="17" ht="15" customHeight="1" x14ac:dyDescent="0.2"/>
    <row r="18" ht="15" customHeight="1" x14ac:dyDescent="0.2"/>
    <row r="20" ht="15.75" customHeight="1" x14ac:dyDescent="0.2"/>
    <row r="21" ht="15.75" customHeight="1" x14ac:dyDescent="0.2"/>
    <row r="22" ht="15.75" customHeight="1" x14ac:dyDescent="0.2"/>
    <row r="23" ht="15" customHeight="1" x14ac:dyDescent="0.2"/>
    <row r="24" ht="15" customHeight="1" x14ac:dyDescent="0.2"/>
    <row r="25" ht="36" customHeight="1" x14ac:dyDescent="0.2"/>
    <row r="26" ht="39.75" customHeight="1" x14ac:dyDescent="0.2"/>
    <row r="28" ht="42" customHeight="1" x14ac:dyDescent="0.2"/>
    <row r="29" ht="56.25" customHeight="1" x14ac:dyDescent="0.2"/>
    <row r="30" ht="45.75" customHeight="1" x14ac:dyDescent="0.2"/>
    <row r="31" ht="38.25" customHeight="1" x14ac:dyDescent="0.2"/>
    <row r="32" ht="41.25" customHeight="1" x14ac:dyDescent="0.2"/>
    <row r="33" ht="34.5" customHeight="1" x14ac:dyDescent="0.2"/>
    <row r="35" ht="36.75" customHeight="1" x14ac:dyDescent="0.2"/>
    <row r="36" ht="20.25" customHeight="1" x14ac:dyDescent="0.2"/>
    <row r="37" ht="24" customHeight="1" x14ac:dyDescent="0.2"/>
  </sheetData>
  <mergeCells count="18">
    <mergeCell ref="J6:J8"/>
    <mergeCell ref="O5:O9"/>
    <mergeCell ref="B3:P4"/>
    <mergeCell ref="B5:B9"/>
    <mergeCell ref="C5:H5"/>
    <mergeCell ref="I5:K5"/>
    <mergeCell ref="L5:L9"/>
    <mergeCell ref="M5:M8"/>
    <mergeCell ref="N5:N9"/>
    <mergeCell ref="P5:P9"/>
    <mergeCell ref="C6:C9"/>
    <mergeCell ref="D6:D8"/>
    <mergeCell ref="K6:K9"/>
    <mergeCell ref="E6:E8"/>
    <mergeCell ref="F6:F8"/>
    <mergeCell ref="G6:G8"/>
    <mergeCell ref="H6:H9"/>
    <mergeCell ref="I6:I8"/>
  </mergeCells>
  <pageMargins left="0.51181102362204722" right="0.51181102362204722" top="0.78740157480314965" bottom="0.78740157480314965" header="0.31496062992125984" footer="0.31496062992125984"/>
  <pageSetup paperSize="9"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3E80D1F660834892E216AD42448A7C" ma:contentTypeVersion="6" ma:contentTypeDescription="Create a new document." ma:contentTypeScope="" ma:versionID="4124e8e1cdde65d237db118f5ecdf96f">
  <xsd:schema xmlns:xsd="http://www.w3.org/2001/XMLSchema" xmlns:xs="http://www.w3.org/2001/XMLSchema" xmlns:p="http://schemas.microsoft.com/office/2006/metadata/properties" xmlns:ns2="ee930af7-980a-4675-bf59-73a6e27d9f53" targetNamespace="http://schemas.microsoft.com/office/2006/metadata/properties" ma:root="true" ma:fieldsID="09fe7e63b352de156efe8b47e4d768c1" ns2:_="">
    <xsd:import namespace="ee930af7-980a-4675-bf59-73a6e27d9f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30af7-980a-4675-bf59-73a6e27d9f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FFF0BC-8A49-4DB2-8572-A4CDDA0CAAC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e930af7-980a-4675-bf59-73a6e27d9f5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801EFE7-8BEF-48D3-BD53-FCC2FFDFB20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3F7853-7AC6-430E-B1DF-7B1BD492D5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930af7-980a-4675-bf59-73a6e27d9f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7</vt:i4>
      </vt:variant>
    </vt:vector>
  </HeadingPairs>
  <TitlesOfParts>
    <vt:vector size="14" baseType="lpstr">
      <vt:lpstr>Planilha de custos</vt:lpstr>
      <vt:lpstr>AA AT HORAS</vt:lpstr>
      <vt:lpstr>Encargos Sociais</vt:lpstr>
      <vt:lpstr>Anx II-A Uniforme</vt:lpstr>
      <vt:lpstr>Anx II-C Mat. e Equip.</vt:lpstr>
      <vt:lpstr>Anx II-D Equip. Detreciáveis</vt:lpstr>
      <vt:lpstr>Cálculo Cobertura</vt:lpstr>
      <vt:lpstr>'AA AT HORAS'!Area_de_impressao</vt:lpstr>
      <vt:lpstr>'Anx II-A Uniforme'!Area_de_impressao</vt:lpstr>
      <vt:lpstr>'Anx II-C Mat. e Equip.'!Area_de_impressao</vt:lpstr>
      <vt:lpstr>'Planilha de custos'!Area_de_impressao</vt:lpstr>
      <vt:lpstr>'AA AT HORAS'!Print_Area</vt:lpstr>
      <vt:lpstr>'Cálculo Cobertura'!Print_Area</vt:lpstr>
      <vt:lpstr>'Planilha de custos'!Print_Area</vt:lpstr>
    </vt:vector>
  </TitlesOfParts>
  <Manager/>
  <Company>Supremo Tribunal Federal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Marcello dos Santos Lopes</cp:lastModifiedBy>
  <cp:revision/>
  <cp:lastPrinted>2022-08-22T21:22:23Z</cp:lastPrinted>
  <dcterms:created xsi:type="dcterms:W3CDTF">2021-09-20T16:50:59Z</dcterms:created>
  <dcterms:modified xsi:type="dcterms:W3CDTF">2022-09-14T17:12:39Z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0x010100493E80D1F660834892E216AD42448A7C</vt:lpwstr>
  </property>
</Properties>
</file>