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58 - 002218-22 - SPP DF ESCOLTA\03 PLANILHA\"/>
    </mc:Choice>
  </mc:AlternateContent>
  <bookViews>
    <workbookView xWindow="-120" yWindow="-120" windowWidth="29040" windowHeight="15840" tabRatio="819"/>
  </bookViews>
  <sheets>
    <sheet name="PlanilhaConsolidada" sheetId="56" r:id="rId1"/>
    <sheet name="HORAS,VT,Vl" sheetId="64" r:id="rId2"/>
    <sheet name="Encargos Sociais" sheetId="70" r:id="rId3"/>
    <sheet name="ANEXO A - Uniformes" sheetId="65" r:id="rId4"/>
    <sheet name="ANEXO B - EPI" sheetId="66" r:id="rId5"/>
    <sheet name="ANEXO C - Equipamentos" sheetId="67" r:id="rId6"/>
    <sheet name="Cálculo Cobertura" sheetId="69" r:id="rId7"/>
    <sheet name="Anexo IIE - Encargos 2º ano" sheetId="68" state="hidden" r:id="rId8"/>
  </sheets>
  <externalReferences>
    <externalReference r:id="rId9"/>
    <externalReference r:id="rId10"/>
    <externalReference r:id="rId11"/>
  </externalReferences>
  <definedNames>
    <definedName name="aa" localSheetId="2">#REF!</definedName>
    <definedName name="aa">#REF!</definedName>
    <definedName name="adasda" localSheetId="2">#REF!</definedName>
    <definedName name="adasda" localSheetId="0">#REF!</definedName>
    <definedName name="adasda">#REF!</definedName>
    <definedName name="_xlnm.Print_Area" localSheetId="3">'ANEXO A - Uniformes'!$A$1:$G$37</definedName>
    <definedName name="_xlnm.Print_Area" localSheetId="4">'ANEXO B - EPI'!$B$2:$G$12</definedName>
    <definedName name="_xlnm.Print_Area" localSheetId="5">'ANEXO C - Equipamentos'!$A$1:$I$16</definedName>
    <definedName name="_xlnm.Print_Area" localSheetId="7">'Anexo IIE - Encargos 2º ano'!$B$2:$J$37</definedName>
    <definedName name="_xlnm.Print_Area" localSheetId="6">'Cálculo Cobertura'!$B$3:$O$17</definedName>
    <definedName name="_xlnm.Print_Area" localSheetId="1">'HORAS,VT,Vl'!$B$1:$S$38</definedName>
    <definedName name="_xlnm.Print_Area" localSheetId="0">PlanilhaConsolidada!$A$2:$V$36</definedName>
    <definedName name="BDI" localSheetId="6">#REF!</definedName>
    <definedName name="BDI" localSheetId="2">[1]Desoneração!#REF!</definedName>
    <definedName name="BDI" localSheetId="1">[2]Cumulativa!$N$7</definedName>
    <definedName name="BDI" localSheetId="0">PlanilhaConsolidada!#REF!</definedName>
    <definedName name="BDI">#REF!</definedName>
    <definedName name="Qtd_Dias" localSheetId="6">'[3]HORAS,VT,VA'!#REF!</definedName>
    <definedName name="Qtd_Dias" localSheetId="2">'[1]HORAS,VT,VA,CAFÉ'!$B$19</definedName>
    <definedName name="Qtd_Dias" localSheetId="1">'HORAS,VT,Vl'!#REF!</definedName>
    <definedName name="Qtd_Dias" localSheetId="0">#REF!</definedName>
    <definedName name="Qtd_Dias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65" l="1"/>
  <c r="F9" i="65"/>
  <c r="F8" i="65"/>
  <c r="M5" i="64" l="1"/>
  <c r="M24" i="64" l="1"/>
  <c r="H19" i="64" l="1"/>
  <c r="T18" i="56" l="1"/>
  <c r="R18" i="56"/>
  <c r="D36" i="70" l="1"/>
  <c r="J7" i="56"/>
  <c r="G9" i="69" l="1"/>
  <c r="F9" i="69"/>
  <c r="E9" i="69"/>
  <c r="D9" i="69"/>
  <c r="E20" i="70"/>
  <c r="E19" i="70"/>
  <c r="E18" i="70"/>
  <c r="D20" i="70"/>
  <c r="D19" i="70"/>
  <c r="D18" i="70"/>
  <c r="M9" i="69"/>
  <c r="P7" i="56" l="1"/>
  <c r="K35" i="70"/>
  <c r="J35" i="70"/>
  <c r="D31" i="70"/>
  <c r="K29" i="70"/>
  <c r="J29" i="70"/>
  <c r="K34" i="70"/>
  <c r="J34" i="70"/>
  <c r="K30" i="70"/>
  <c r="J30" i="70"/>
  <c r="E25" i="70"/>
  <c r="D25" i="70"/>
  <c r="J14" i="70"/>
  <c r="D13" i="70"/>
  <c r="D15" i="70" s="1"/>
  <c r="J9" i="70"/>
  <c r="K31" i="70" l="1"/>
  <c r="J31" i="70"/>
  <c r="J27" i="70"/>
  <c r="E33" i="70"/>
  <c r="E34" i="70" s="1"/>
  <c r="E36" i="70" s="1"/>
  <c r="D33" i="70"/>
  <c r="D34" i="70" s="1"/>
  <c r="K27" i="70"/>
  <c r="K33" i="70" l="1"/>
  <c r="K36" i="70" s="1"/>
  <c r="J33" i="70"/>
  <c r="J36" i="70" s="1"/>
  <c r="L7" i="64"/>
  <c r="L6" i="64"/>
  <c r="K7" i="64"/>
  <c r="K6" i="64"/>
  <c r="K15" i="64"/>
  <c r="K14" i="64"/>
  <c r="K28" i="64"/>
  <c r="K26" i="64"/>
  <c r="E14" i="56"/>
  <c r="E13" i="56"/>
  <c r="E12" i="56"/>
  <c r="E11" i="56"/>
  <c r="E10" i="56"/>
  <c r="E9" i="56"/>
  <c r="E8" i="56"/>
  <c r="F14" i="56" l="1"/>
  <c r="F8" i="56"/>
  <c r="G8" i="56" s="1"/>
  <c r="F10" i="56"/>
  <c r="G10" i="56" s="1"/>
  <c r="F13" i="56"/>
  <c r="G13" i="56" s="1"/>
  <c r="F12" i="56"/>
  <c r="G12" i="56" s="1"/>
  <c r="F11" i="56"/>
  <c r="G11" i="56" s="1"/>
  <c r="F9" i="56"/>
  <c r="G14" i="56"/>
  <c r="G9" i="56"/>
  <c r="M14" i="64" s="1"/>
  <c r="M7" i="64" l="1"/>
  <c r="M6" i="64"/>
  <c r="F24" i="65" l="1"/>
  <c r="F8" i="66"/>
  <c r="F7" i="66"/>
  <c r="F25" i="65"/>
  <c r="F27" i="65"/>
  <c r="F28" i="65"/>
  <c r="F31" i="65"/>
  <c r="F32" i="65"/>
  <c r="F33" i="65"/>
  <c r="F34" i="65"/>
  <c r="F7" i="65"/>
  <c r="F10" i="65"/>
  <c r="F11" i="65"/>
  <c r="F14" i="65"/>
  <c r="F15" i="65"/>
  <c r="F16" i="65"/>
  <c r="F17" i="65"/>
  <c r="F6" i="65"/>
  <c r="E25" i="64"/>
  <c r="N6" i="64"/>
  <c r="L17" i="64"/>
  <c r="L16" i="64"/>
  <c r="L15" i="64"/>
  <c r="L14" i="64"/>
  <c r="L18" i="64"/>
  <c r="B11" i="69"/>
  <c r="B12" i="69"/>
  <c r="B13" i="69"/>
  <c r="B14" i="69"/>
  <c r="B15" i="69"/>
  <c r="B16" i="69"/>
  <c r="B10" i="69"/>
  <c r="P18" i="64" l="1"/>
  <c r="M17" i="64" l="1"/>
  <c r="C26" i="64"/>
  <c r="D26" i="64" s="1"/>
  <c r="C25" i="64"/>
  <c r="D25" i="64" s="1"/>
  <c r="F25" i="64" s="1"/>
  <c r="P14" i="64" l="1"/>
  <c r="D30" i="68" l="1"/>
  <c r="D19" i="68"/>
  <c r="D18" i="68"/>
  <c r="D17" i="68"/>
  <c r="D13" i="68"/>
  <c r="D15" i="68" s="1"/>
  <c r="J9" i="68"/>
  <c r="J14" i="68" s="1"/>
  <c r="H14" i="67"/>
  <c r="I14" i="67" s="1"/>
  <c r="H13" i="67"/>
  <c r="I13" i="67" s="1"/>
  <c r="H12" i="67"/>
  <c r="I12" i="67" s="1"/>
  <c r="C11" i="67"/>
  <c r="H11" i="67" s="1"/>
  <c r="I11" i="67" s="1"/>
  <c r="C10" i="67"/>
  <c r="H10" i="67" s="1"/>
  <c r="I10" i="67" s="1"/>
  <c r="C9" i="67"/>
  <c r="H9" i="67" s="1"/>
  <c r="I9" i="67" s="1"/>
  <c r="C8" i="67"/>
  <c r="H8" i="67" s="1"/>
  <c r="I8" i="67" s="1"/>
  <c r="H7" i="67"/>
  <c r="I7" i="67" s="1"/>
  <c r="X51" i="64"/>
  <c r="X52" i="64" s="1"/>
  <c r="B31" i="64"/>
  <c r="B30" i="64"/>
  <c r="H25" i="64"/>
  <c r="D19" i="64"/>
  <c r="P17" i="64"/>
  <c r="P16" i="64"/>
  <c r="P15" i="64"/>
  <c r="O6" i="64"/>
  <c r="P6" i="64" s="1"/>
  <c r="L8" i="56" s="1"/>
  <c r="G25" i="64" l="1"/>
  <c r="I25" i="64" s="1"/>
  <c r="G30" i="64" s="1"/>
  <c r="I10" i="69"/>
  <c r="L9" i="56"/>
  <c r="I11" i="69"/>
  <c r="D24" i="68"/>
  <c r="D32" i="68" s="1"/>
  <c r="D33" i="68" s="1"/>
  <c r="E34" i="68" s="1"/>
  <c r="F18" i="65"/>
  <c r="P28" i="56" s="1"/>
  <c r="S28" i="56" s="1"/>
  <c r="F35" i="65"/>
  <c r="Q28" i="56" s="1"/>
  <c r="F9" i="66"/>
  <c r="S30" i="56" s="1"/>
  <c r="I15" i="67"/>
  <c r="U32" i="56" s="1"/>
  <c r="E30" i="64"/>
  <c r="F30" i="64" s="1"/>
  <c r="H30" i="64" l="1"/>
  <c r="I30" i="64" s="1"/>
  <c r="J10" i="69" l="1"/>
  <c r="K10" i="69" s="1"/>
  <c r="J11" i="69"/>
  <c r="K11" i="69" s="1"/>
  <c r="T32" i="56"/>
  <c r="U18" i="56" l="1"/>
  <c r="S15" i="56"/>
  <c r="R30" i="56" s="1"/>
  <c r="U30" i="56" l="1"/>
  <c r="T30" i="56" s="1"/>
  <c r="M18" i="64"/>
  <c r="M15" i="64"/>
  <c r="R28" i="56"/>
  <c r="T28" i="56" s="1"/>
  <c r="U28" i="56" s="1"/>
  <c r="R26" i="56"/>
  <c r="T26" i="56" s="1"/>
  <c r="U26" i="56" s="1"/>
  <c r="R20" i="56"/>
  <c r="T20" i="56" s="1"/>
  <c r="U20" i="56" s="1"/>
  <c r="I8" i="56"/>
  <c r="M16" i="64"/>
  <c r="R16" i="64" s="1"/>
  <c r="H12" i="56" s="1"/>
  <c r="I10" i="56"/>
  <c r="R22" i="56"/>
  <c r="T22" i="56" s="1"/>
  <c r="U22" i="56" s="1"/>
  <c r="R24" i="56"/>
  <c r="T24" i="56" s="1"/>
  <c r="C12" i="69" l="1"/>
  <c r="F12" i="69" s="1"/>
  <c r="J10" i="56"/>
  <c r="K10" i="56" s="1"/>
  <c r="C10" i="69"/>
  <c r="D10" i="69" s="1"/>
  <c r="J8" i="56"/>
  <c r="K8" i="56" s="1"/>
  <c r="F10" i="69"/>
  <c r="E10" i="69"/>
  <c r="T33" i="56"/>
  <c r="U24" i="56"/>
  <c r="N9" i="56"/>
  <c r="N8" i="56"/>
  <c r="I12" i="56"/>
  <c r="J12" i="56" s="1"/>
  <c r="D12" i="69" l="1"/>
  <c r="E12" i="69"/>
  <c r="G10" i="69"/>
  <c r="H10" i="69" s="1"/>
  <c r="L10" i="69" s="1"/>
  <c r="M10" i="69" s="1"/>
  <c r="N10" i="69" s="1"/>
  <c r="O10" i="69" s="1"/>
  <c r="C14" i="69"/>
  <c r="R18" i="64"/>
  <c r="H14" i="56" s="1"/>
  <c r="I14" i="56" s="1"/>
  <c r="J14" i="56" s="1"/>
  <c r="O8" i="56"/>
  <c r="K12" i="56"/>
  <c r="G12" i="69" l="1"/>
  <c r="H12" i="69" s="1"/>
  <c r="K14" i="56"/>
  <c r="C16" i="69"/>
  <c r="E16" i="69" s="1"/>
  <c r="F14" i="69"/>
  <c r="E14" i="69"/>
  <c r="D14" i="69"/>
  <c r="P8" i="56"/>
  <c r="Q8" i="56" s="1"/>
  <c r="D16" i="69" l="1"/>
  <c r="G16" i="69" s="1"/>
  <c r="M26" i="64"/>
  <c r="O26" i="64" s="1"/>
  <c r="T8" i="56"/>
  <c r="G14" i="69"/>
  <c r="H14" i="69" s="1"/>
  <c r="F16" i="69"/>
  <c r="R8" i="56"/>
  <c r="U8" i="56" l="1"/>
  <c r="H16" i="69"/>
  <c r="U33" i="56" l="1"/>
  <c r="R15" i="64" l="1"/>
  <c r="H11" i="56" s="1"/>
  <c r="I11" i="56" s="1"/>
  <c r="J11" i="56" s="1"/>
  <c r="C13" i="69" l="1"/>
  <c r="R17" i="64"/>
  <c r="H13" i="56" s="1"/>
  <c r="I13" i="56" s="1"/>
  <c r="J13" i="56" s="1"/>
  <c r="K11" i="56"/>
  <c r="K13" i="56" l="1"/>
  <c r="C15" i="69"/>
  <c r="E13" i="69"/>
  <c r="F13" i="69"/>
  <c r="D13" i="69"/>
  <c r="G13" i="69" l="1"/>
  <c r="H13" i="69" s="1"/>
  <c r="D15" i="69"/>
  <c r="F15" i="69"/>
  <c r="E15" i="69"/>
  <c r="G15" i="69" l="1"/>
  <c r="H15" i="69" s="1"/>
  <c r="C19" i="64"/>
  <c r="H20" i="64" s="1"/>
  <c r="E26" i="64" s="1"/>
  <c r="N7" i="64" l="1"/>
  <c r="O7" i="64" s="1"/>
  <c r="P7" i="64" s="1"/>
  <c r="I16" i="69" s="1"/>
  <c r="F26" i="64"/>
  <c r="G26" i="64" s="1"/>
  <c r="E31" i="64"/>
  <c r="F31" i="64" s="1"/>
  <c r="H26" i="64"/>
  <c r="I15" i="69" l="1"/>
  <c r="L10" i="56"/>
  <c r="I26" i="64"/>
  <c r="G31" i="64" s="1"/>
  <c r="L14" i="56"/>
  <c r="I14" i="69"/>
  <c r="I12" i="69"/>
  <c r="L13" i="56"/>
  <c r="I13" i="69"/>
  <c r="L12" i="56"/>
  <c r="L11" i="56"/>
  <c r="H31" i="64"/>
  <c r="I31" i="64" s="1"/>
  <c r="J13" i="69" s="1"/>
  <c r="K13" i="69" s="1"/>
  <c r="L13" i="69" s="1"/>
  <c r="N12" i="56" l="1"/>
  <c r="O12" i="56" s="1"/>
  <c r="P12" i="56" s="1"/>
  <c r="Q12" i="56" s="1"/>
  <c r="N14" i="56"/>
  <c r="O14" i="56" s="1"/>
  <c r="P14" i="56" s="1"/>
  <c r="J14" i="69"/>
  <c r="K14" i="69" s="1"/>
  <c r="L14" i="69" s="1"/>
  <c r="M14" i="69" s="1"/>
  <c r="N14" i="69" s="1"/>
  <c r="O14" i="69" s="1"/>
  <c r="N10" i="56"/>
  <c r="O10" i="56" s="1"/>
  <c r="J16" i="69"/>
  <c r="K16" i="69" s="1"/>
  <c r="L16" i="69" s="1"/>
  <c r="M16" i="69" s="1"/>
  <c r="N16" i="69" s="1"/>
  <c r="O16" i="69" s="1"/>
  <c r="J15" i="69"/>
  <c r="K15" i="69" s="1"/>
  <c r="L15" i="69" s="1"/>
  <c r="M15" i="69" s="1"/>
  <c r="N15" i="69" s="1"/>
  <c r="O15" i="69" s="1"/>
  <c r="J12" i="69"/>
  <c r="K12" i="69" s="1"/>
  <c r="L12" i="69" s="1"/>
  <c r="M12" i="69" s="1"/>
  <c r="N12" i="69" s="1"/>
  <c r="O12" i="69" s="1"/>
  <c r="N13" i="56"/>
  <c r="O13" i="56" s="1"/>
  <c r="P13" i="56" s="1"/>
  <c r="Q13" i="56" s="1"/>
  <c r="N11" i="56"/>
  <c r="O11" i="56" s="1"/>
  <c r="P11" i="56" s="1"/>
  <c r="M13" i="69"/>
  <c r="N13" i="69" s="1"/>
  <c r="O13" i="69" s="1"/>
  <c r="Q14" i="56" l="1"/>
  <c r="M32" i="64" s="1"/>
  <c r="O32" i="64" s="1"/>
  <c r="N15" i="56"/>
  <c r="Q11" i="56"/>
  <c r="M29" i="64" s="1"/>
  <c r="O29" i="64" s="1"/>
  <c r="R13" i="56"/>
  <c r="M31" i="64"/>
  <c r="O31" i="64" s="1"/>
  <c r="T13" i="56"/>
  <c r="U13" i="56" s="1"/>
  <c r="R14" i="56"/>
  <c r="P10" i="56"/>
  <c r="Q10" i="56" s="1"/>
  <c r="R12" i="56"/>
  <c r="M30" i="64"/>
  <c r="O30" i="64" s="1"/>
  <c r="T12" i="56"/>
  <c r="U12" i="56" s="1"/>
  <c r="T14" i="56" l="1"/>
  <c r="U14" i="56" s="1"/>
  <c r="R11" i="56"/>
  <c r="T11" i="56"/>
  <c r="U11" i="56" s="1"/>
  <c r="T10" i="56"/>
  <c r="U10" i="56" s="1"/>
  <c r="R10" i="56"/>
  <c r="M28" i="64"/>
  <c r="O28" i="64" s="1"/>
  <c r="R14" i="64"/>
  <c r="H9" i="56"/>
  <c r="I9" i="56" s="1"/>
  <c r="J9" i="56" s="1"/>
  <c r="K9" i="56" s="1"/>
  <c r="K15" i="56" l="1"/>
  <c r="O9" i="56"/>
  <c r="C11" i="69"/>
  <c r="D11" i="69" l="1"/>
  <c r="F11" i="69"/>
  <c r="E11" i="69"/>
  <c r="P9" i="56"/>
  <c r="Q9" i="56" s="1"/>
  <c r="O15" i="56"/>
  <c r="R9" i="56" l="1"/>
  <c r="T9" i="56"/>
  <c r="M27" i="64"/>
  <c r="O27" i="64" s="1"/>
  <c r="G11" i="69"/>
  <c r="H11" i="69" s="1"/>
  <c r="L11" i="69" s="1"/>
  <c r="U9" i="56" l="1"/>
  <c r="U15" i="56" s="1"/>
  <c r="U35" i="56" s="1"/>
  <c r="T15" i="56"/>
  <c r="M11" i="69"/>
  <c r="N11" i="69" s="1"/>
  <c r="O11" i="69" s="1"/>
  <c r="T35" i="56" l="1"/>
</calcChain>
</file>

<file path=xl/sharedStrings.xml><?xml version="1.0" encoding="utf-8"?>
<sst xmlns="http://schemas.openxmlformats.org/spreadsheetml/2006/main" count="393" uniqueCount="257">
  <si>
    <t>Posto de Trabalho</t>
  </si>
  <si>
    <t>MONTANTE "A"</t>
  </si>
  <si>
    <t>MONTANTE "B"</t>
  </si>
  <si>
    <t>Total unitário mensal do posto de trabalho</t>
  </si>
  <si>
    <t>Salário</t>
  </si>
  <si>
    <t>Previsão Mensal Inicial</t>
  </si>
  <si>
    <t>Previsão Mensal Total</t>
  </si>
  <si>
    <t>Subtotal 1</t>
  </si>
  <si>
    <t>Subtotal 2</t>
  </si>
  <si>
    <t>participação empresa (mensal)</t>
  </si>
  <si>
    <t>Participação empresa (anual)</t>
  </si>
  <si>
    <t>Participação funcionário (anual)</t>
  </si>
  <si>
    <t>Resultado</t>
  </si>
  <si>
    <t>Dias úteis no ano</t>
  </si>
  <si>
    <t>Quantidade diária</t>
  </si>
  <si>
    <t>Valor unitário do vale</t>
  </si>
  <si>
    <t>Posto de trabalho</t>
  </si>
  <si>
    <t>Total Mensal</t>
  </si>
  <si>
    <t>Dias Úteis</t>
  </si>
  <si>
    <t>Valor Unitário</t>
  </si>
  <si>
    <t>Dias Trabalhados no ano</t>
  </si>
  <si>
    <t>6% * resultado</t>
  </si>
  <si>
    <t>Total de dias úteis</t>
  </si>
  <si>
    <t xml:space="preserve">Onde:            </t>
  </si>
  <si>
    <t>PIS</t>
  </si>
  <si>
    <t>COFINS</t>
  </si>
  <si>
    <t>ISS</t>
  </si>
  <si>
    <t>C</t>
  </si>
  <si>
    <t>B</t>
  </si>
  <si>
    <t>A</t>
  </si>
  <si>
    <t>%</t>
  </si>
  <si>
    <t>DESCRIÇÃO</t>
  </si>
  <si>
    <t>Nº de Feriados Forenses</t>
  </si>
  <si>
    <t>Nº de Domingos e Feriados</t>
  </si>
  <si>
    <t>Nº de Sábados</t>
  </si>
  <si>
    <t>Nº de Sextas</t>
  </si>
  <si>
    <t>Nº de Segundas a Quintas</t>
  </si>
  <si>
    <t>Cumulativa</t>
  </si>
  <si>
    <t>TRIBUTAÇÃO</t>
  </si>
  <si>
    <t>Dias da Semana</t>
  </si>
  <si>
    <t>Item</t>
  </si>
  <si>
    <t>PLANILHA DE COMPOSIÇÃO DOS PERCENTUAIS</t>
  </si>
  <si>
    <t xml:space="preserve"> MÁXIMOS DE ENCARGOS SOCIAIS </t>
  </si>
  <si>
    <t>Título</t>
  </si>
  <si>
    <t>RISCO ACIDENTE DE TRABALHO AJUSTADO (**)</t>
  </si>
  <si>
    <t>INCIDÊNCIA DE A SOBRE B</t>
  </si>
  <si>
    <t>(**) Variação das alíquotas de 0,5% a 6% de RAT, devido a incidência do FAP</t>
  </si>
  <si>
    <t>Carga Horária semanal do Posto
 de Trabalho</t>
  </si>
  <si>
    <t>AUXÍLIO-TRANSPORTE</t>
  </si>
  <si>
    <t>Quantidade de horas úteis por mês</t>
  </si>
  <si>
    <t>Período</t>
  </si>
  <si>
    <t>Quantidade</t>
  </si>
  <si>
    <t>Valor unitário</t>
  </si>
  <si>
    <t>Valor Mensal</t>
  </si>
  <si>
    <t>N/A</t>
  </si>
  <si>
    <t>44 horas semanais</t>
  </si>
  <si>
    <t>OBSERVAÇÕES:</t>
  </si>
  <si>
    <t>12x36</t>
  </si>
  <si>
    <t>15h às 01h</t>
  </si>
  <si>
    <t>19h às 05h</t>
  </si>
  <si>
    <t>Remuneração</t>
  </si>
  <si>
    <t>Descrição do uniforme</t>
  </si>
  <si>
    <t>Valor unitário máximo admitido</t>
  </si>
  <si>
    <t>TOTAL MÁXIMO ADMITIDO</t>
  </si>
  <si>
    <t xml:space="preserve"> </t>
  </si>
  <si>
    <t>EQUIPAMENTO DE PROTEÇÃO INDIVIDUAL</t>
  </si>
  <si>
    <t>13h às 23h</t>
  </si>
  <si>
    <t>Percentual de acréscimo</t>
  </si>
  <si>
    <t>Posto</t>
  </si>
  <si>
    <t>Valor adicional noturno mensal</t>
  </si>
  <si>
    <t>Divisor (horas mensais)</t>
  </si>
  <si>
    <t>Qtde de horas noturnas</t>
  </si>
  <si>
    <t>Dias no mês</t>
  </si>
  <si>
    <t>CÁLCULO ADICIONAL NOTURNO</t>
  </si>
  <si>
    <t/>
  </si>
  <si>
    <t>05h às 22h</t>
  </si>
  <si>
    <t>Segurança Pessoal Privada p/ condução de veículos 
CBO 5173-10</t>
  </si>
  <si>
    <t>CUSTOS INDIRETOS, TRIBUTOS E LUCRO - CITL</t>
  </si>
  <si>
    <r>
      <t xml:space="preserve">R A T /FAP (*)
</t>
    </r>
    <r>
      <rPr>
        <b/>
        <sz val="9"/>
        <color rgb="FFFF0000"/>
        <rFont val="Arial"/>
        <family val="2"/>
      </rPr>
      <t>PODERÁ SER ALTERADO</t>
    </r>
  </si>
  <si>
    <t>Módulo "A"</t>
  </si>
  <si>
    <r>
      <t xml:space="preserve">PREVIDÊNCIA SOCIAL - </t>
    </r>
    <r>
      <rPr>
        <sz val="9"/>
        <color rgb="FFFF0000"/>
        <rFont val="Arial"/>
        <family val="2"/>
      </rPr>
      <t>PODERÁ SER ALTERADO</t>
    </r>
  </si>
  <si>
    <t>CUSTOS INDIRETOS*</t>
  </si>
  <si>
    <r>
      <t>SESI / SESC</t>
    </r>
    <r>
      <rPr>
        <sz val="9"/>
        <color rgb="FFFF0000"/>
        <rFont val="Arial"/>
        <family val="2"/>
      </rPr>
      <t xml:space="preserve"> -  NÃO PODERÁ SER ALTERADO</t>
    </r>
  </si>
  <si>
    <t>LUCRO*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</si>
  <si>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</si>
  <si>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</si>
  <si>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</si>
  <si>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</si>
  <si>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</si>
  <si>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</si>
  <si>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</si>
  <si>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</si>
  <si>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</si>
  <si>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</si>
  <si>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</si>
  <si>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</si>
  <si>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</si>
  <si>
    <t>A = Custos indiretos;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</si>
  <si>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</si>
  <si>
    <t>B = Lucro; e</t>
  </si>
  <si>
    <r>
      <t>AUXÍLIO DOENÇA -</t>
    </r>
    <r>
      <rPr>
        <sz val="9"/>
        <color rgb="FFFF0000"/>
        <rFont val="Arial"/>
        <family val="2"/>
      </rPr>
      <t xml:space="preserve"> PODERÁ SER ALTERADO</t>
    </r>
  </si>
  <si>
    <t>C = Tributos - somatório</t>
  </si>
  <si>
    <r>
      <t xml:space="preserve">LICENÇA PATERNIDADE - </t>
    </r>
    <r>
      <rPr>
        <sz val="9"/>
        <color rgb="FFFF0000"/>
        <rFont val="Arial"/>
        <family val="2"/>
      </rPr>
      <t>PODERÁ SER ALTERADO</t>
    </r>
  </si>
  <si>
    <t>*Incluem custo com salário, encargos e auxílios do preposto</t>
  </si>
  <si>
    <r>
      <t xml:space="preserve">FALTAS LEGAIS - </t>
    </r>
    <r>
      <rPr>
        <sz val="9"/>
        <color rgb="FFFF0000"/>
        <rFont val="Arial"/>
        <family val="2"/>
      </rPr>
      <t>PODERÁ SER ALTERADO</t>
    </r>
  </si>
  <si>
    <t>**Contribuição Previdenciária sobre a Receita Bruta - lei 12.546/2011</t>
  </si>
  <si>
    <r>
      <t xml:space="preserve">ACIDENTE DO TRABALHO - </t>
    </r>
    <r>
      <rPr>
        <sz val="9"/>
        <color rgb="FFFF0000"/>
        <rFont val="Arial"/>
        <family val="2"/>
      </rPr>
      <t>PODERÁ SER ALTERADO</t>
    </r>
  </si>
  <si>
    <t>Total do Módulo "B"</t>
  </si>
  <si>
    <t>Módulo C</t>
  </si>
  <si>
    <r>
      <t xml:space="preserve">AVISO PRÉVIO INDENIZADO - </t>
    </r>
    <r>
      <rPr>
        <sz val="9"/>
        <color rgb="FFFF0000"/>
        <rFont val="Arial"/>
        <family val="2"/>
      </rPr>
      <t>PODERÁ SER ALTERADO</t>
    </r>
  </si>
  <si>
    <r>
      <t xml:space="preserve">AVISO PRÉVIO - </t>
    </r>
    <r>
      <rPr>
        <sz val="9"/>
        <color rgb="FFFF0000"/>
        <rFont val="Arial"/>
        <family val="2"/>
      </rPr>
      <t>PODERÁ SER ALTERADO</t>
    </r>
  </si>
  <si>
    <r>
      <t xml:space="preserve">INDENIZAÇÃO ADICIONAL - </t>
    </r>
    <r>
      <rPr>
        <sz val="9"/>
        <color rgb="FFFF0000"/>
        <rFont val="Arial"/>
        <family val="2"/>
      </rPr>
      <t>PODERÁ SER ALTERADO</t>
    </r>
  </si>
  <si>
    <r>
      <t xml:space="preserve">FGTS RECISÕES SEM JUSTA CAUSA - </t>
    </r>
    <r>
      <rPr>
        <sz val="9"/>
        <color rgb="FFFF0000"/>
        <rFont val="Arial"/>
        <family val="2"/>
      </rPr>
      <t>PODERÁ SER ALTERADO</t>
    </r>
  </si>
  <si>
    <t>Total do Módulo "C"</t>
  </si>
  <si>
    <t>Módulo D</t>
  </si>
  <si>
    <t>Total do Módulo "D"</t>
  </si>
  <si>
    <t>TOTAL DOS ENCARGOS SOCIAIS</t>
  </si>
  <si>
    <t>(*) Risco Acidente de Trabalho / Fator Acidentário de Prevenção</t>
  </si>
  <si>
    <t>Cinto social</t>
  </si>
  <si>
    <t>Meia social (par)</t>
  </si>
  <si>
    <t>Meia para tênis</t>
  </si>
  <si>
    <t xml:space="preserve">Camisa social </t>
  </si>
  <si>
    <t>Sapato social (par)</t>
  </si>
  <si>
    <t xml:space="preserve">Calça jeans </t>
  </si>
  <si>
    <t xml:space="preserve">Camisa polo </t>
  </si>
  <si>
    <t>Tênis</t>
  </si>
  <si>
    <t xml:space="preserve">Tênis </t>
  </si>
  <si>
    <t>UNIFORME FEMININO
 (a serem fornecidos conforme especificação do Termo de Referência)</t>
  </si>
  <si>
    <t>Coldre para pistola</t>
  </si>
  <si>
    <t>Porta carregador duplo</t>
  </si>
  <si>
    <t>Cinto sem furos</t>
  </si>
  <si>
    <t>Colete Balístico</t>
  </si>
  <si>
    <t>EQUIPAMENTOS E MATERIAIS - BENS DURÁVEIS
 (a serem fornecidos conforme especificação do Termo de Referência)</t>
  </si>
  <si>
    <t>Prazo de vida útil (anos)</t>
  </si>
  <si>
    <t>Taxa anual de depreciação</t>
  </si>
  <si>
    <t>Valor máximo anual a ser ressarcido, considerando a depreciação</t>
  </si>
  <si>
    <t>Descrição</t>
  </si>
  <si>
    <t>Japona</t>
  </si>
  <si>
    <t>meses</t>
  </si>
  <si>
    <t>Valor período</t>
  </si>
  <si>
    <t>Total de horas</t>
  </si>
  <si>
    <t>Total período</t>
  </si>
  <si>
    <t>CÁLCULO DO VALOR DA HORA - 1º ANO</t>
  </si>
  <si>
    <t>Postos de Trabalho</t>
  </si>
  <si>
    <t>Divisor</t>
  </si>
  <si>
    <t>Valor da Hora</t>
  </si>
  <si>
    <t>UNIFORME MASCULINO 
 (a serem fornecidos conforme especificação do Termo de Referência)</t>
  </si>
  <si>
    <t>CÁLCULO DO PROFISSIONAL DE COBERTURA</t>
  </si>
  <si>
    <t>Somatório Montantes 
"A" e "B"</t>
  </si>
  <si>
    <t>CITL
Calculado sobre o somatório dos Montantes 
"A" e "B"</t>
  </si>
  <si>
    <t>Valor diário do cobertura</t>
  </si>
  <si>
    <t>13º Salário</t>
  </si>
  <si>
    <t>Férias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</si>
  <si>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</si>
  <si>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</si>
  <si>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</si>
  <si>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</si>
  <si>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</si>
  <si>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</si>
  <si>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21h às 07h</t>
  </si>
  <si>
    <t>12 meses (12 * salário)</t>
  </si>
  <si>
    <t>Resultado (12 meses /dias úteis)</t>
  </si>
  <si>
    <t>Valor máximo estimado do Contrato para o 1º ano</t>
  </si>
  <si>
    <t>Nº de peças a serem fornecidas anualmente*</t>
  </si>
  <si>
    <t>* fornecimento conforme solicitação do Fiscal</t>
  </si>
  <si>
    <t>Valor máxímo admitido por profissional no período de 12 meses</t>
  </si>
  <si>
    <t>Valor estimado máximo admitido a ser ressarcido, considerando a depreciação do equipamento</t>
  </si>
  <si>
    <t>Valor total máximo do item</t>
  </si>
  <si>
    <r>
      <t xml:space="preserve">Convenção Coletiva de Trabalho 
</t>
    </r>
    <r>
      <rPr>
        <sz val="12"/>
        <color theme="4" tint="-0.249977111117893"/>
        <rFont val="Arial"/>
        <family val="2"/>
      </rPr>
      <t>(poderá ser alterada)</t>
    </r>
    <r>
      <rPr>
        <sz val="12"/>
        <rFont val="Arial"/>
        <family val="2"/>
      </rPr>
      <t xml:space="preserve">
Vigência
Data-base </t>
    </r>
  </si>
  <si>
    <t>SINDESV/DF x SINDESP/DF 2022/2022
1º de janeiro de 2022</t>
  </si>
  <si>
    <t>SPP - 12X36</t>
  </si>
  <si>
    <t>SPP - 44 horas</t>
  </si>
  <si>
    <r>
      <t xml:space="preserve">RAT / FAP (*)
</t>
    </r>
    <r>
      <rPr>
        <b/>
        <sz val="10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</si>
  <si>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</si>
  <si>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</si>
  <si>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t>1º Ano</t>
  </si>
  <si>
    <t>A partir do 2º ano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</si>
  <si>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</si>
  <si>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</si>
  <si>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</si>
  <si>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AUXÍLIO DOENÇA - PODERÁ SER ALTERADO</t>
  </si>
  <si>
    <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/>
    </r>
  </si>
  <si>
    <r>
      <t xml:space="preserve">FALTAS LEGAIS - </t>
    </r>
    <r>
      <rPr>
        <sz val="9"/>
        <color indexed="12"/>
        <rFont val="Arial"/>
        <family val="2"/>
      </rPr>
      <t>PODERÁ SER ALTERADO</t>
    </r>
  </si>
  <si>
    <r>
      <t xml:space="preserve">ACIDENTE DO TRABALHO - </t>
    </r>
    <r>
      <rPr>
        <sz val="9"/>
        <color indexed="12"/>
        <rFont val="Arial"/>
        <family val="2"/>
      </rPr>
      <t>PODERÁ SER ALTERADO</t>
    </r>
  </si>
  <si>
    <t>CONTA-DEPÓSITO VINCULADA - BLOQUEADA PARA MOVIMENTAÇÃO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</si>
  <si>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</si>
  <si>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</si>
  <si>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</si>
  <si>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</si>
  <si>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</si>
  <si>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Subtotal</t>
  </si>
  <si>
    <t>Incidência Módulo "A"</t>
  </si>
  <si>
    <t>Abono férias</t>
  </si>
  <si>
    <t>FGTS Recisões sem Justa Causa</t>
  </si>
  <si>
    <t>A CONTINGENCIAR</t>
  </si>
  <si>
    <t>(***) Em caso de ausência de cobertura de férias, deverá ser alterado o divisor para 11 meses, à partir do segundo ano do contrato</t>
  </si>
  <si>
    <t>Diurno</t>
  </si>
  <si>
    <t>Noturno</t>
  </si>
  <si>
    <t>05h às 22h*</t>
  </si>
  <si>
    <t>-</t>
  </si>
  <si>
    <t>Masculino</t>
  </si>
  <si>
    <t>Feminino</t>
  </si>
  <si>
    <t>Quant. Anual</t>
  </si>
  <si>
    <t>Qtd. Mensal</t>
  </si>
  <si>
    <t>Valor Anual</t>
  </si>
  <si>
    <t>1. No posto de trabalho 12X36, em 1 semana o profissional trabalha 3 dias (36 horas) e na outra trabalha 4 dias (48 horas) e assim alternadamente.</t>
  </si>
  <si>
    <r>
      <t xml:space="preserve">2. Um ano possui 52 semanas. Durante 26 semanas (metade de 52 semanas), o profissional locado no posto de trabalho 12x36 trabalhará 36 horas por semana, totalizando </t>
    </r>
    <r>
      <rPr>
        <b/>
        <sz val="10"/>
        <rFont val="Arial"/>
        <family val="2"/>
      </rPr>
      <t>936 horas</t>
    </r>
    <r>
      <rPr>
        <sz val="10"/>
        <rFont val="Arial"/>
        <family val="2"/>
      </rPr>
      <t xml:space="preserve"> no período.</t>
    </r>
  </si>
  <si>
    <r>
      <t xml:space="preserve">3 Para as outras 26 semanas, o profissional trabalhará 48 horas por semana, totalizando 1.248 horas no período, assim, durante 1 ano o ocupante do posto de trabalho 12X36 trabalhará </t>
    </r>
    <r>
      <rPr>
        <b/>
        <sz val="10"/>
        <rFont val="Arial"/>
        <family val="2"/>
      </rPr>
      <t>182 dias</t>
    </r>
    <r>
      <rPr>
        <sz val="10"/>
        <rFont val="Arial"/>
        <family val="2"/>
      </rPr>
      <t xml:space="preserve">, correspondendo a  </t>
    </r>
    <r>
      <rPr>
        <b/>
        <sz val="10"/>
        <rFont val="Arial"/>
        <family val="2"/>
      </rPr>
      <t>2.184 horas</t>
    </r>
    <r>
      <rPr>
        <sz val="10"/>
        <rFont val="Arial"/>
        <family val="2"/>
      </rPr>
      <t>.</t>
    </r>
  </si>
  <si>
    <t>4 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</t>
  </si>
  <si>
    <t>PLANILHA DE HORAS ANUAL
01/11/2022 a 31/10/2023</t>
  </si>
  <si>
    <t>PAT* (% mediante comprovação)</t>
  </si>
  <si>
    <t>(*) Considerando a Cláusula décima segunda da CCT.</t>
  </si>
  <si>
    <t>diurno</t>
  </si>
  <si>
    <t>noturno</t>
  </si>
  <si>
    <r>
      <t xml:space="preserve">   III - AUXÍLIO SAÚDE  - RESSARCIMENTO</t>
    </r>
    <r>
      <rPr>
        <b/>
        <sz val="12"/>
        <color theme="4" tint="-0.249977111117893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(Só poderá ser alterado pelo licitante em caso de adoção de outra CCT)</t>
    </r>
  </si>
  <si>
    <r>
      <t xml:space="preserve">   II - FUNDO SOCIAL E ODONTOLÓGICO  - RESSARCIMENTO</t>
    </r>
    <r>
      <rPr>
        <b/>
        <sz val="12"/>
        <color theme="4" tint="-0.249977111117893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(Só poderá ser alterado pelo licitante em caso de adoção de outra CCT)</t>
    </r>
  </si>
  <si>
    <r>
      <t xml:space="preserve">   I - DIÁRIAS - RESSARCIMENTO </t>
    </r>
    <r>
      <rPr>
        <b/>
        <sz val="12"/>
        <color rgb="FFFF0000"/>
        <rFont val="Arial"/>
        <family val="2"/>
      </rPr>
      <t>(não poderá ser alterado pela licitante)</t>
    </r>
  </si>
  <si>
    <r>
      <t xml:space="preserve">   IV - FUNDO PARA INDENIZAÇÃO DECORRENTE DE APOSENTADORIA POR INVALIDEZ E POR DOENÇA DE QUALQUER NATUREZA - RESSARCIMENTO</t>
    </r>
    <r>
      <rPr>
        <b/>
        <sz val="12"/>
        <color theme="4" tint="-0.249977111117893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(Só poderá ser alterado pelo licitante em caso de adoção de outra CCT)</t>
    </r>
  </si>
  <si>
    <r>
      <t xml:space="preserve">   V - SEGURO DE VIDA  - RESSARCIMENTO </t>
    </r>
    <r>
      <rPr>
        <b/>
        <sz val="12"/>
        <color theme="4" tint="-0.249977111117893"/>
        <rFont val="Arial"/>
        <family val="2"/>
      </rPr>
      <t>(Valor máximo admitido - pode ser alterado pela licitante em caso de contratação de apólice de menor valor)</t>
    </r>
  </si>
  <si>
    <r>
      <t xml:space="preserve">   VI - UNIFORMES - MASCULINO E FEMININO- RESSARCIMENTO 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theme="4" tint="-0.249977111117893"/>
        <rFont val="Arial"/>
        <family val="2"/>
      </rPr>
      <t>(Valor máximo admitido - pode ser alterado pela licitante, fazendo constar sempre o de maior valor entre o feminino e o masculino)
Obs: O valor estimado previsto para uniforme observou o valor do uniforme masculino (maior valor), contudo, para fins de ressarcimento deverá ser observado o valor individualizado de cada item.</t>
    </r>
  </si>
  <si>
    <t>Salário
(R$)</t>
  </si>
  <si>
    <t xml:space="preserve">Adicional de condução de veículo sob o piso normativo
(R$)
</t>
  </si>
  <si>
    <t>Total estimado da contratação para o período
(R$)</t>
  </si>
  <si>
    <t>Total mensal estimado da Contratação
(R$)</t>
  </si>
  <si>
    <t>Quantidade de profissionais por posto de trabalho
(R$)</t>
  </si>
  <si>
    <t>Total unitário do posto de trabalho no período
(R$)</t>
  </si>
  <si>
    <t>Total unitário mensal do posto de trabalho
(R$)</t>
  </si>
  <si>
    <t>CITL
Calculado sobre o somatório dos Montantes
"A" e "B"
(R$)</t>
  </si>
  <si>
    <t>Somatório
Montantes
"A" e "B"
(R$)</t>
  </si>
  <si>
    <t>Total unitário
montante
"B"
(R$)</t>
  </si>
  <si>
    <t>Valor do auxílio-transporte mensal - parte da empresa
(R$)</t>
  </si>
  <si>
    <t>Valor mensal do Auxílio-alimentação
(R$)</t>
  </si>
  <si>
    <t>Total unitário
montante
"A"
(R$)</t>
  </si>
  <si>
    <t>Encargos Sociais
(R$)</t>
  </si>
  <si>
    <t>Remuneração
(R$)</t>
  </si>
  <si>
    <t>Adicional Noturno
(R$)</t>
  </si>
  <si>
    <t>Adicional de 
Periculosidade
(R$)</t>
  </si>
  <si>
    <t xml:space="preserve">  (*) horário abrange todos os postos e escalas de 44h semanais sem indicência de adicional noturno compreendidos no intervalo de tempo entre 05h às 22h.</t>
  </si>
  <si>
    <t>PLANILHA DE CUSTOS E FORMAÇÃO DE PREÇOS - 01 de novembro de 2022 a 31 de outubro de 2023</t>
  </si>
  <si>
    <t>CÁLCULO DO AUXÍLIO-ALIMENTAÇÃO</t>
  </si>
  <si>
    <r>
      <t xml:space="preserve">   VII - EQUIPAMENTO DE PROTEÇÃO INDIVIDUAL - RESSARCIMENTO </t>
    </r>
    <r>
      <rPr>
        <b/>
        <sz val="12"/>
        <color theme="4" tint="-0.249977111117893"/>
        <rFont val="Arial"/>
        <family val="2"/>
      </rPr>
      <t>(Valor máximo admitido - pode ser alterado pela licitante)</t>
    </r>
  </si>
  <si>
    <r>
      <t xml:space="preserve">   VIII - EQUIPAMENTOS E MATERIAIS- RESSARCIMENTO - BENS DURÁVEIS </t>
    </r>
    <r>
      <rPr>
        <b/>
        <sz val="12"/>
        <color theme="4" tint="-0.249977111117893"/>
        <rFont val="Arial"/>
        <family val="2"/>
      </rPr>
      <t>(Valor máximo admitido - pode ser alterado pela licitante)</t>
    </r>
  </si>
  <si>
    <t>Gravata social vertical</t>
  </si>
  <si>
    <t>Tailleur - Tailleur completo: Composto de 01 (um) Blazer e 01 (uma) Calça</t>
  </si>
  <si>
    <t>Terno completo: Composto de 1 (um) Paletó e 1 (uma) Calça</t>
  </si>
  <si>
    <t>Blusa social</t>
  </si>
  <si>
    <t>UNIFORME CASUAL MASCULINO</t>
  </si>
  <si>
    <t>UNIFORME SOCIAL MASCULINO</t>
  </si>
  <si>
    <t>UNIFORME SOCIAL FEMININO</t>
  </si>
  <si>
    <t>Meia-Calça</t>
  </si>
  <si>
    <t>UNIFORME CASUAL FEMININO</t>
  </si>
  <si>
    <t>Capa de chuva com capuz</t>
  </si>
  <si>
    <t>Valor estimado máximo admitido</t>
  </si>
  <si>
    <t>Pistola cal. 380</t>
  </si>
  <si>
    <t>Munição para pistola .380</t>
  </si>
  <si>
    <t>Capa social sobressalente</t>
  </si>
  <si>
    <t>Lanterna holofote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</si>
</sst>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0.000"/>
    <numFmt numFmtId="167" formatCode="&quot;R$&quot;\ #,##0.00"/>
    <numFmt numFmtId="168" formatCode="&quot;R$ 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2"/>
      <color theme="4" tint="-0.249977111117893"/>
      <name val="Arial"/>
      <family val="2"/>
    </font>
    <font>
      <sz val="12"/>
      <color theme="4" tint="-0.249977111117893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9"/>
      <color indexed="12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</fills>
  <borders count="12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29" fillId="0" borderId="0" applyNumberFormat="0" applyFill="0" applyBorder="0" applyProtection="0"/>
  </cellStyleXfs>
  <cellXfs count="574">
    <xf numFmtId="0" fontId="0" fillId="0" borderId="0" xfId="0"/>
    <xf numFmtId="0" fontId="5" fillId="0" borderId="0" xfId="2"/>
    <xf numFmtId="0" fontId="5" fillId="0" borderId="0" xfId="2" applyFill="1"/>
    <xf numFmtId="0" fontId="6" fillId="0" borderId="0" xfId="2" applyFont="1" applyFill="1" applyBorder="1" applyAlignment="1">
      <alignment horizontal="justify" vertical="center" wrapText="1"/>
    </xf>
    <xf numFmtId="0" fontId="5" fillId="0" borderId="0" xfId="2" applyBorder="1"/>
    <xf numFmtId="0" fontId="7" fillId="0" borderId="0" xfId="2" applyFont="1" applyFill="1" applyBorder="1"/>
    <xf numFmtId="0" fontId="3" fillId="2" borderId="0" xfId="0" applyFont="1" applyFill="1" applyBorder="1"/>
    <xf numFmtId="4" fontId="3" fillId="2" borderId="5" xfId="0" applyNumberFormat="1" applyFont="1" applyFill="1" applyBorder="1" applyAlignment="1">
      <alignment horizontal="right" vertical="center" wrapText="1"/>
    </xf>
    <xf numFmtId="4" fontId="3" fillId="2" borderId="5" xfId="0" applyNumberFormat="1" applyFont="1" applyFill="1" applyBorder="1" applyAlignment="1">
      <alignment horizontal="right" vertical="center"/>
    </xf>
    <xf numFmtId="4" fontId="3" fillId="2" borderId="5" xfId="0" applyNumberFormat="1" applyFont="1" applyFill="1" applyBorder="1" applyAlignment="1">
      <alignment vertical="center" wrapText="1"/>
    </xf>
    <xf numFmtId="0" fontId="0" fillId="2" borderId="0" xfId="0" applyFill="1"/>
    <xf numFmtId="4" fontId="3" fillId="2" borderId="0" xfId="0" applyNumberFormat="1" applyFont="1" applyFill="1" applyBorder="1"/>
    <xf numFmtId="2" fontId="3" fillId="2" borderId="5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right" vertical="center" wrapText="1"/>
    </xf>
    <xf numFmtId="0" fontId="5" fillId="0" borderId="0" xfId="2" applyFont="1" applyFill="1"/>
    <xf numFmtId="0" fontId="5" fillId="0" borderId="0" xfId="2" applyFont="1" applyFill="1" applyBorder="1"/>
    <xf numFmtId="0" fontId="5" fillId="0" borderId="0" xfId="2" applyFont="1"/>
    <xf numFmtId="0" fontId="5" fillId="0" borderId="0" xfId="2" applyFont="1" applyBorder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center" vertical="center" wrapText="1"/>
    </xf>
    <xf numFmtId="4" fontId="5" fillId="0" borderId="5" xfId="2" applyNumberFormat="1" applyFont="1" applyFill="1" applyBorder="1" applyAlignment="1">
      <alignment vertical="center" wrapText="1"/>
    </xf>
    <xf numFmtId="3" fontId="5" fillId="0" borderId="5" xfId="2" applyNumberFormat="1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vertical="center" wrapText="1"/>
    </xf>
    <xf numFmtId="3" fontId="5" fillId="0" borderId="18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4" fontId="5" fillId="0" borderId="35" xfId="2" applyNumberFormat="1" applyFont="1" applyFill="1" applyBorder="1" applyAlignment="1">
      <alignment vertical="center" wrapText="1"/>
    </xf>
    <xf numFmtId="0" fontId="5" fillId="0" borderId="36" xfId="2" applyFont="1" applyFill="1" applyBorder="1"/>
    <xf numFmtId="0" fontId="5" fillId="0" borderId="23" xfId="2" applyBorder="1"/>
    <xf numFmtId="0" fontId="9" fillId="0" borderId="0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horizontal="center" vertical="justify"/>
    </xf>
    <xf numFmtId="4" fontId="3" fillId="2" borderId="6" xfId="0" applyNumberFormat="1" applyFont="1" applyFill="1" applyBorder="1" applyAlignment="1">
      <alignment horizontal="right" vertical="center" wrapText="1"/>
    </xf>
    <xf numFmtId="4" fontId="3" fillId="2" borderId="20" xfId="0" applyNumberFormat="1" applyFont="1" applyFill="1" applyBorder="1" applyAlignment="1">
      <alignment horizontal="right" vertical="center" wrapText="1"/>
    </xf>
    <xf numFmtId="4" fontId="3" fillId="2" borderId="39" xfId="0" applyNumberFormat="1" applyFont="1" applyFill="1" applyBorder="1" applyAlignment="1">
      <alignment horizontal="center" vertical="center" wrapText="1"/>
    </xf>
    <xf numFmtId="4" fontId="4" fillId="2" borderId="39" xfId="0" applyNumberFormat="1" applyFont="1" applyFill="1" applyBorder="1" applyAlignment="1">
      <alignment horizontal="right" vertical="center"/>
    </xf>
    <xf numFmtId="3" fontId="4" fillId="2" borderId="39" xfId="0" applyNumberFormat="1" applyFont="1" applyFill="1" applyBorder="1" applyAlignment="1">
      <alignment horizontal="center" vertical="center"/>
    </xf>
    <xf numFmtId="4" fontId="4" fillId="2" borderId="40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 wrapText="1"/>
    </xf>
    <xf numFmtId="43" fontId="4" fillId="2" borderId="40" xfId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center" vertical="center" wrapText="1"/>
    </xf>
    <xf numFmtId="43" fontId="4" fillId="2" borderId="39" xfId="0" applyNumberFormat="1" applyFont="1" applyFill="1" applyBorder="1" applyAlignment="1">
      <alignment vertical="center" wrapText="1"/>
    </xf>
    <xf numFmtId="43" fontId="0" fillId="2" borderId="0" xfId="0" applyNumberFormat="1" applyFill="1"/>
    <xf numFmtId="0" fontId="6" fillId="0" borderId="0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horizontal="justify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5" fillId="0" borderId="4" xfId="2" applyNumberFormat="1" applyFont="1" applyFill="1" applyBorder="1" applyAlignment="1">
      <alignment horizontal="center" vertical="center" wrapText="1"/>
    </xf>
    <xf numFmtId="4" fontId="5" fillId="0" borderId="21" xfId="2" applyNumberFormat="1" applyFont="1" applyFill="1" applyBorder="1" applyAlignment="1">
      <alignment horizontal="center" vertical="center" wrapText="1"/>
    </xf>
    <xf numFmtId="4" fontId="5" fillId="0" borderId="17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/>
    </xf>
    <xf numFmtId="0" fontId="9" fillId="2" borderId="0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justify" vertical="center" wrapText="1"/>
    </xf>
    <xf numFmtId="164" fontId="0" fillId="0" borderId="0" xfId="19" applyFont="1" applyBorder="1" applyAlignment="1">
      <alignment vertical="center"/>
    </xf>
    <xf numFmtId="164" fontId="5" fillId="0" borderId="0" xfId="19" applyBorder="1" applyAlignment="1">
      <alignment vertical="center" wrapText="1"/>
    </xf>
    <xf numFmtId="4" fontId="0" fillId="2" borderId="0" xfId="0" applyNumberFormat="1" applyFill="1"/>
    <xf numFmtId="3" fontId="9" fillId="2" borderId="0" xfId="2" applyNumberFormat="1" applyFont="1" applyFill="1" applyBorder="1" applyAlignment="1">
      <alignment horizontal="center"/>
    </xf>
    <xf numFmtId="0" fontId="9" fillId="2" borderId="0" xfId="2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3" fontId="16" fillId="2" borderId="0" xfId="0" applyNumberFormat="1" applyFont="1" applyFill="1"/>
    <xf numFmtId="10" fontId="0" fillId="2" borderId="0" xfId="22" applyNumberFormat="1" applyFont="1" applyFill="1"/>
    <xf numFmtId="4" fontId="17" fillId="2" borderId="0" xfId="0" applyNumberFormat="1" applyFont="1" applyFill="1"/>
    <xf numFmtId="0" fontId="3" fillId="2" borderId="6" xfId="0" applyFont="1" applyFill="1" applyBorder="1" applyAlignment="1">
      <alignment horizontal="center" vertical="center" wrapText="1"/>
    </xf>
    <xf numFmtId="43" fontId="4" fillId="2" borderId="39" xfId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25" xfId="2" applyFont="1" applyBorder="1"/>
    <xf numFmtId="0" fontId="5" fillId="0" borderId="25" xfId="2" applyBorder="1"/>
    <xf numFmtId="0" fontId="5" fillId="0" borderId="25" xfId="2" applyFill="1" applyBorder="1"/>
    <xf numFmtId="43" fontId="4" fillId="2" borderId="39" xfId="1" applyFont="1" applyFill="1" applyBorder="1" applyAlignment="1">
      <alignment vertical="center"/>
    </xf>
    <xf numFmtId="0" fontId="11" fillId="0" borderId="0" xfId="23" applyFont="1" applyFill="1"/>
    <xf numFmtId="0" fontId="12" fillId="0" borderId="0" xfId="23" applyFont="1" applyFill="1"/>
    <xf numFmtId="0" fontId="5" fillId="0" borderId="0" xfId="23" applyFont="1" applyFill="1"/>
    <xf numFmtId="0" fontId="5" fillId="0" borderId="0" xfId="23"/>
    <xf numFmtId="0" fontId="11" fillId="0" borderId="0" xfId="23" applyFont="1" applyFill="1" applyBorder="1"/>
    <xf numFmtId="0" fontId="9" fillId="0" borderId="5" xfId="23" applyFont="1" applyFill="1" applyBorder="1" applyAlignment="1">
      <alignment horizontal="center"/>
    </xf>
    <xf numFmtId="14" fontId="5" fillId="0" borderId="0" xfId="23" applyNumberFormat="1"/>
    <xf numFmtId="0" fontId="11" fillId="0" borderId="62" xfId="23" applyFont="1" applyFill="1" applyBorder="1" applyAlignment="1">
      <alignment horizontal="center"/>
    </xf>
    <xf numFmtId="0" fontId="11" fillId="0" borderId="5" xfId="23" applyFont="1" applyFill="1" applyBorder="1" applyAlignment="1">
      <alignment horizontal="justify"/>
    </xf>
    <xf numFmtId="10" fontId="9" fillId="2" borderId="5" xfId="23" applyNumberFormat="1" applyFont="1" applyFill="1" applyBorder="1" applyAlignment="1">
      <alignment horizontal="center"/>
    </xf>
    <xf numFmtId="0" fontId="9" fillId="0" borderId="63" xfId="23" applyFont="1" applyFill="1" applyBorder="1"/>
    <xf numFmtId="0" fontId="9" fillId="0" borderId="13" xfId="23" applyFont="1" applyFill="1" applyBorder="1"/>
    <xf numFmtId="10" fontId="9" fillId="0" borderId="5" xfId="23" applyNumberFormat="1" applyFont="1" applyFill="1" applyBorder="1" applyAlignment="1">
      <alignment horizontal="center"/>
    </xf>
    <xf numFmtId="0" fontId="5" fillId="0" borderId="26" xfId="23" applyFont="1" applyFill="1" applyBorder="1"/>
    <xf numFmtId="0" fontId="5" fillId="0" borderId="22" xfId="23" applyFont="1" applyFill="1" applyBorder="1"/>
    <xf numFmtId="10" fontId="5" fillId="0" borderId="5" xfId="23" applyNumberFormat="1" applyFont="1" applyFill="1" applyBorder="1" applyAlignment="1">
      <alignment horizontal="center"/>
    </xf>
    <xf numFmtId="0" fontId="5" fillId="0" borderId="59" xfId="23" applyFont="1" applyFill="1" applyBorder="1"/>
    <xf numFmtId="0" fontId="5" fillId="0" borderId="16" xfId="23" applyFont="1" applyFill="1" applyBorder="1"/>
    <xf numFmtId="2" fontId="11" fillId="0" borderId="0" xfId="23" applyNumberFormat="1" applyFont="1" applyFill="1"/>
    <xf numFmtId="0" fontId="9" fillId="0" borderId="12" xfId="23" applyFont="1" applyFill="1" applyBorder="1" applyAlignment="1">
      <alignment horizontal="center"/>
    </xf>
    <xf numFmtId="0" fontId="5" fillId="0" borderId="0" xfId="23" applyFont="1" applyFill="1" applyBorder="1"/>
    <xf numFmtId="0" fontId="5" fillId="0" borderId="26" xfId="23" applyFont="1" applyFill="1" applyBorder="1" applyAlignment="1">
      <alignment vertical="center"/>
    </xf>
    <xf numFmtId="0" fontId="9" fillId="0" borderId="0" xfId="23" applyFont="1" applyFill="1" applyBorder="1" applyAlignment="1">
      <alignment horizontal="right"/>
    </xf>
    <xf numFmtId="0" fontId="5" fillId="0" borderId="65" xfId="23" applyFont="1" applyFill="1" applyBorder="1"/>
    <xf numFmtId="0" fontId="5" fillId="0" borderId="27" xfId="23" applyFont="1" applyFill="1" applyBorder="1" applyAlignment="1">
      <alignment vertical="center" wrapText="1"/>
    </xf>
    <xf numFmtId="0" fontId="11" fillId="0" borderId="5" xfId="23" applyFont="1" applyFill="1" applyBorder="1"/>
    <xf numFmtId="0" fontId="5" fillId="0" borderId="66" xfId="23" applyFont="1" applyFill="1" applyBorder="1"/>
    <xf numFmtId="0" fontId="11" fillId="0" borderId="67" xfId="23" applyFont="1" applyFill="1" applyBorder="1"/>
    <xf numFmtId="0" fontId="5" fillId="0" borderId="67" xfId="23" applyFont="1" applyFill="1" applyBorder="1"/>
    <xf numFmtId="0" fontId="5" fillId="0" borderId="64" xfId="23" applyBorder="1"/>
    <xf numFmtId="10" fontId="5" fillId="0" borderId="0" xfId="23" applyNumberFormat="1"/>
    <xf numFmtId="10" fontId="10" fillId="0" borderId="72" xfId="13" applyNumberFormat="1" applyFont="1" applyFill="1" applyBorder="1" applyAlignment="1">
      <alignment wrapText="1"/>
    </xf>
    <xf numFmtId="0" fontId="5" fillId="0" borderId="0" xfId="23" applyBorder="1"/>
    <xf numFmtId="0" fontId="9" fillId="4" borderId="7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justify"/>
    </xf>
    <xf numFmtId="0" fontId="9" fillId="4" borderId="7" xfId="2" applyFont="1" applyFill="1" applyBorder="1" applyAlignment="1">
      <alignment horizontal="center" vertical="justify"/>
    </xf>
    <xf numFmtId="0" fontId="5" fillId="2" borderId="10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left" vertical="center" wrapText="1"/>
    </xf>
    <xf numFmtId="0" fontId="5" fillId="3" borderId="5" xfId="25" applyFont="1" applyFill="1" applyBorder="1" applyAlignment="1">
      <alignment horizontal="justify" vertical="center" wrapText="1"/>
    </xf>
    <xf numFmtId="0" fontId="5" fillId="3" borderId="5" xfId="25" applyFont="1" applyFill="1" applyBorder="1" applyAlignment="1">
      <alignment horizontal="justify" vertical="justify" wrapText="1"/>
    </xf>
    <xf numFmtId="0" fontId="5" fillId="2" borderId="5" xfId="25" applyFont="1" applyFill="1" applyBorder="1" applyAlignment="1">
      <alignment vertical="center" wrapText="1"/>
    </xf>
    <xf numFmtId="0" fontId="9" fillId="0" borderId="0" xfId="2" applyFont="1" applyBorder="1" applyAlignment="1">
      <alignment vertical="center" wrapText="1"/>
    </xf>
    <xf numFmtId="0" fontId="5" fillId="2" borderId="0" xfId="2" applyFont="1" applyFill="1" applyBorder="1" applyAlignment="1">
      <alignment horizontal="center" vertical="center" wrapText="1"/>
    </xf>
    <xf numFmtId="0" fontId="5" fillId="2" borderId="10" xfId="25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right" vertical="center" wrapText="1"/>
    </xf>
    <xf numFmtId="167" fontId="4" fillId="2" borderId="76" xfId="0" applyNumberFormat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167" fontId="5" fillId="0" borderId="5" xfId="0" applyNumberFormat="1" applyFont="1" applyFill="1" applyBorder="1" applyAlignment="1">
      <alignment horizontal="center" vertical="center" wrapText="1"/>
    </xf>
    <xf numFmtId="167" fontId="5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9" fontId="10" fillId="5" borderId="6" xfId="23" applyNumberFormat="1" applyFont="1" applyFill="1" applyBorder="1" applyAlignment="1">
      <alignment horizontal="center" vertical="center" wrapText="1"/>
    </xf>
    <xf numFmtId="166" fontId="10" fillId="5" borderId="58" xfId="24" applyNumberFormat="1" applyFont="1" applyFill="1" applyBorder="1" applyAlignment="1">
      <alignment horizontal="center" vertical="center" wrapText="1"/>
    </xf>
    <xf numFmtId="0" fontId="3" fillId="0" borderId="0" xfId="23" applyFont="1" applyFill="1" applyBorder="1"/>
    <xf numFmtId="0" fontId="9" fillId="0" borderId="0" xfId="23" applyNumberFormat="1" applyFont="1" applyBorder="1" applyAlignment="1">
      <alignment vertical="center" wrapText="1"/>
    </xf>
    <xf numFmtId="10" fontId="4" fillId="2" borderId="5" xfId="3" applyNumberFormat="1" applyFont="1" applyFill="1" applyBorder="1" applyAlignment="1">
      <alignment horizontal="center" vertical="center"/>
    </xf>
    <xf numFmtId="10" fontId="4" fillId="2" borderId="5" xfId="23" applyNumberFormat="1" applyFont="1" applyFill="1" applyBorder="1" applyAlignment="1">
      <alignment horizontal="center" vertical="center" wrapText="1"/>
    </xf>
    <xf numFmtId="167" fontId="3" fillId="2" borderId="5" xfId="23" applyNumberFormat="1" applyFont="1" applyFill="1" applyBorder="1" applyAlignment="1">
      <alignment horizontal="center" vertical="center" wrapText="1"/>
    </xf>
    <xf numFmtId="167" fontId="3" fillId="0" borderId="7" xfId="23" applyNumberFormat="1" applyFont="1" applyFill="1" applyBorder="1" applyAlignment="1">
      <alignment horizontal="center" vertical="center"/>
    </xf>
    <xf numFmtId="167" fontId="3" fillId="0" borderId="0" xfId="23" applyNumberFormat="1" applyFont="1" applyFill="1" applyBorder="1"/>
    <xf numFmtId="167" fontId="3" fillId="2" borderId="18" xfId="3" applyNumberFormat="1" applyFont="1" applyFill="1" applyBorder="1" applyAlignment="1">
      <alignment horizontal="center" vertical="center"/>
    </xf>
    <xf numFmtId="167" fontId="3" fillId="2" borderId="18" xfId="23" applyNumberFormat="1" applyFont="1" applyFill="1" applyBorder="1" applyAlignment="1">
      <alignment horizontal="center" vertical="center" wrapText="1"/>
    </xf>
    <xf numFmtId="43" fontId="3" fillId="0" borderId="0" xfId="23" applyNumberFormat="1" applyFont="1" applyFill="1" applyBorder="1"/>
    <xf numFmtId="0" fontId="3" fillId="0" borderId="77" xfId="23" applyFont="1" applyFill="1" applyBorder="1"/>
    <xf numFmtId="167" fontId="3" fillId="2" borderId="5" xfId="23" applyNumberFormat="1" applyFont="1" applyFill="1" applyBorder="1" applyAlignment="1">
      <alignment horizontal="right" vertical="center" wrapText="1"/>
    </xf>
    <xf numFmtId="167" fontId="3" fillId="2" borderId="5" xfId="3" applyNumberFormat="1" applyFont="1" applyFill="1" applyBorder="1" applyAlignment="1">
      <alignment horizontal="center" vertical="center"/>
    </xf>
    <xf numFmtId="167" fontId="3" fillId="0" borderId="5" xfId="23" applyNumberFormat="1" applyFont="1" applyFill="1" applyBorder="1" applyAlignment="1">
      <alignment horizontal="center"/>
    </xf>
    <xf numFmtId="0" fontId="5" fillId="0" borderId="75" xfId="2" applyFont="1" applyBorder="1"/>
    <xf numFmtId="0" fontId="3" fillId="2" borderId="4" xfId="2" applyFont="1" applyFill="1" applyBorder="1" applyAlignment="1">
      <alignment horizontal="center" vertical="center" wrapText="1"/>
    </xf>
    <xf numFmtId="167" fontId="3" fillId="0" borderId="18" xfId="23" applyNumberFormat="1" applyFont="1" applyFill="1" applyBorder="1" applyAlignment="1">
      <alignment horizontal="center"/>
    </xf>
    <xf numFmtId="167" fontId="3" fillId="0" borderId="19" xfId="23" applyNumberFormat="1" applyFont="1" applyFill="1" applyBorder="1" applyAlignment="1">
      <alignment horizontal="center" vertical="center"/>
    </xf>
    <xf numFmtId="10" fontId="10" fillId="0" borderId="13" xfId="13" applyNumberFormat="1" applyFont="1" applyFill="1" applyBorder="1" applyAlignment="1">
      <alignment horizontal="center" vertical="center" wrapText="1"/>
    </xf>
    <xf numFmtId="10" fontId="9" fillId="0" borderId="13" xfId="13" applyNumberFormat="1" applyFont="1" applyFill="1" applyBorder="1"/>
    <xf numFmtId="0" fontId="5" fillId="0" borderId="81" xfId="23" applyFont="1" applyFill="1" applyBorder="1" applyAlignment="1">
      <alignment vertical="center" wrapText="1"/>
    </xf>
    <xf numFmtId="0" fontId="5" fillId="0" borderId="71" xfId="23" applyFont="1" applyFill="1" applyBorder="1"/>
    <xf numFmtId="0" fontId="5" fillId="0" borderId="0" xfId="23" quotePrefix="1" applyFont="1" applyFill="1"/>
    <xf numFmtId="0" fontId="9" fillId="0" borderId="0" xfId="2" applyFont="1" applyAlignment="1">
      <alignment horizontal="justify" vertical="center"/>
    </xf>
    <xf numFmtId="0" fontId="6" fillId="0" borderId="25" xfId="2" applyFont="1" applyFill="1" applyBorder="1" applyAlignment="1">
      <alignment horizontal="left" vertical="center" wrapText="1"/>
    </xf>
    <xf numFmtId="0" fontId="5" fillId="0" borderId="77" xfId="2" applyBorder="1"/>
    <xf numFmtId="0" fontId="5" fillId="2" borderId="47" xfId="0" applyFont="1" applyFill="1" applyBorder="1" applyAlignment="1">
      <alignment horizontal="center" vertical="center" wrapText="1"/>
    </xf>
    <xf numFmtId="167" fontId="5" fillId="0" borderId="47" xfId="0" applyNumberFormat="1" applyFont="1" applyFill="1" applyBorder="1" applyAlignment="1">
      <alignment horizontal="center" vertical="center" wrapText="1"/>
    </xf>
    <xf numFmtId="3" fontId="9" fillId="0" borderId="36" xfId="2" applyNumberFormat="1" applyFont="1" applyFill="1" applyBorder="1" applyAlignment="1">
      <alignment horizontal="center"/>
    </xf>
    <xf numFmtId="167" fontId="4" fillId="2" borderId="22" xfId="0" applyNumberFormat="1" applyFont="1" applyFill="1" applyBorder="1" applyAlignment="1">
      <alignment horizontal="center" vertical="center"/>
    </xf>
    <xf numFmtId="0" fontId="9" fillId="4" borderId="1" xfId="25" applyFont="1" applyFill="1" applyBorder="1" applyAlignment="1">
      <alignment horizontal="center" vertical="center" wrapText="1"/>
    </xf>
    <xf numFmtId="0" fontId="9" fillId="4" borderId="73" xfId="25" applyFont="1" applyFill="1" applyBorder="1" applyAlignment="1">
      <alignment horizontal="center" vertical="center" wrapText="1"/>
    </xf>
    <xf numFmtId="0" fontId="9" fillId="4" borderId="2" xfId="25" applyFont="1" applyFill="1" applyBorder="1" applyAlignment="1">
      <alignment horizontal="center" vertical="center" wrapText="1"/>
    </xf>
    <xf numFmtId="0" fontId="9" fillId="4" borderId="3" xfId="25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9" fillId="4" borderId="74" xfId="25" applyFont="1" applyFill="1" applyBorder="1" applyAlignment="1">
      <alignment horizontal="center" vertical="center" wrapText="1"/>
    </xf>
    <xf numFmtId="0" fontId="5" fillId="0" borderId="5" xfId="2" applyFont="1" applyBorder="1"/>
    <xf numFmtId="0" fontId="5" fillId="0" borderId="10" xfId="2" applyFont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3" fillId="2" borderId="17" xfId="2" applyFont="1" applyFill="1" applyBorder="1" applyAlignment="1">
      <alignment horizontal="center" vertical="center" wrapText="1"/>
    </xf>
    <xf numFmtId="167" fontId="3" fillId="2" borderId="18" xfId="23" applyNumberFormat="1" applyFont="1" applyFill="1" applyBorder="1" applyAlignment="1">
      <alignment horizontal="right" vertical="center" wrapText="1"/>
    </xf>
    <xf numFmtId="4" fontId="3" fillId="0" borderId="5" xfId="0" applyNumberFormat="1" applyFont="1" applyFill="1" applyBorder="1" applyAlignment="1">
      <alignment horizontal="right" vertical="center" wrapText="1"/>
    </xf>
    <xf numFmtId="10" fontId="4" fillId="0" borderId="5" xfId="3" applyNumberFormat="1" applyFont="1" applyFill="1" applyBorder="1" applyAlignment="1">
      <alignment horizontal="center" vertical="center"/>
    </xf>
    <xf numFmtId="3" fontId="9" fillId="2" borderId="19" xfId="2" applyNumberFormat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17" fontId="5" fillId="2" borderId="21" xfId="2" applyNumberFormat="1" applyFont="1" applyFill="1" applyBorder="1" applyAlignment="1">
      <alignment horizontal="center" vertical="center" wrapText="1"/>
    </xf>
    <xf numFmtId="17" fontId="5" fillId="2" borderId="4" xfId="2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9" fontId="9" fillId="0" borderId="5" xfId="2" applyNumberFormat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/>
    </xf>
    <xf numFmtId="0" fontId="5" fillId="0" borderId="47" xfId="2" applyFont="1" applyFill="1" applyBorder="1" applyAlignment="1">
      <alignment horizontal="center" vertical="center"/>
    </xf>
    <xf numFmtId="1" fontId="5" fillId="0" borderId="5" xfId="2" applyNumberFormat="1" applyFont="1" applyBorder="1" applyAlignment="1">
      <alignment vertical="center"/>
    </xf>
    <xf numFmtId="0" fontId="5" fillId="0" borderId="5" xfId="2" applyFont="1" applyBorder="1" applyAlignment="1">
      <alignment vertical="center"/>
    </xf>
    <xf numFmtId="2" fontId="5" fillId="0" borderId="5" xfId="2" applyNumberFormat="1" applyFont="1" applyBorder="1" applyAlignment="1">
      <alignment vertical="center"/>
    </xf>
    <xf numFmtId="0" fontId="5" fillId="0" borderId="47" xfId="2" applyFont="1" applyBorder="1" applyAlignment="1">
      <alignment vertical="center"/>
    </xf>
    <xf numFmtId="0" fontId="29" fillId="7" borderId="83" xfId="26" applyFill="1" applyBorder="1"/>
    <xf numFmtId="0" fontId="29" fillId="7" borderId="84" xfId="26" applyFill="1" applyBorder="1"/>
    <xf numFmtId="0" fontId="29" fillId="7" borderId="85" xfId="26" applyFill="1" applyBorder="1"/>
    <xf numFmtId="0" fontId="29" fillId="0" borderId="0" xfId="26" applyNumberFormat="1"/>
    <xf numFmtId="0" fontId="29" fillId="7" borderId="86" xfId="26" applyFill="1" applyBorder="1"/>
    <xf numFmtId="0" fontId="30" fillId="7" borderId="0" xfId="26" applyFont="1" applyFill="1" applyBorder="1"/>
    <xf numFmtId="0" fontId="31" fillId="7" borderId="0" xfId="26" applyFont="1" applyFill="1" applyBorder="1"/>
    <xf numFmtId="0" fontId="29" fillId="7" borderId="0" xfId="26" applyFill="1" applyBorder="1"/>
    <xf numFmtId="0" fontId="29" fillId="7" borderId="87" xfId="26" applyFill="1" applyBorder="1"/>
    <xf numFmtId="0" fontId="29" fillId="7" borderId="89" xfId="26" applyFill="1" applyBorder="1"/>
    <xf numFmtId="0" fontId="30" fillId="7" borderId="91" xfId="26" applyFont="1" applyFill="1" applyBorder="1"/>
    <xf numFmtId="0" fontId="29" fillId="7" borderId="96" xfId="26" applyFill="1" applyBorder="1"/>
    <xf numFmtId="9" fontId="32" fillId="6" borderId="97" xfId="26" applyNumberFormat="1" applyFont="1" applyFill="1" applyBorder="1" applyAlignment="1">
      <alignment horizontal="center" vertical="center" wrapText="1"/>
    </xf>
    <xf numFmtId="166" fontId="32" fillId="6" borderId="97" xfId="26" applyNumberFormat="1" applyFont="1" applyFill="1" applyBorder="1" applyAlignment="1">
      <alignment horizontal="center" vertical="center" wrapText="1"/>
    </xf>
    <xf numFmtId="49" fontId="33" fillId="7" borderId="90" xfId="26" applyNumberFormat="1" applyFont="1" applyFill="1" applyBorder="1" applyAlignment="1">
      <alignment horizontal="center"/>
    </xf>
    <xf numFmtId="0" fontId="30" fillId="7" borderId="90" xfId="26" applyNumberFormat="1" applyFont="1" applyFill="1" applyBorder="1" applyAlignment="1">
      <alignment horizontal="center"/>
    </xf>
    <xf numFmtId="49" fontId="30" fillId="7" borderId="90" xfId="26" applyNumberFormat="1" applyFont="1" applyFill="1" applyBorder="1" applyAlignment="1">
      <alignment horizontal="justify"/>
    </xf>
    <xf numFmtId="49" fontId="33" fillId="7" borderId="92" xfId="26" applyNumberFormat="1" applyFont="1" applyFill="1" applyBorder="1"/>
    <xf numFmtId="0" fontId="33" fillId="7" borderId="94" xfId="26" applyFont="1" applyFill="1" applyBorder="1"/>
    <xf numFmtId="0" fontId="29" fillId="7" borderId="105" xfId="26" applyFill="1" applyBorder="1"/>
    <xf numFmtId="0" fontId="29" fillId="7" borderId="98" xfId="26" applyFill="1" applyBorder="1"/>
    <xf numFmtId="0" fontId="29" fillId="7" borderId="99" xfId="26" applyFill="1" applyBorder="1"/>
    <xf numFmtId="10" fontId="32" fillId="8" borderId="90" xfId="26" applyNumberFormat="1" applyFont="1" applyFill="1" applyBorder="1" applyAlignment="1">
      <alignment horizontal="center" vertical="center" wrapText="1"/>
    </xf>
    <xf numFmtId="2" fontId="30" fillId="7" borderId="91" xfId="26" applyNumberFormat="1" applyFont="1" applyFill="1" applyBorder="1"/>
    <xf numFmtId="0" fontId="33" fillId="7" borderId="93" xfId="26" applyFont="1" applyFill="1" applyBorder="1" applyAlignment="1">
      <alignment horizontal="center"/>
    </xf>
    <xf numFmtId="10" fontId="33" fillId="7" borderId="94" xfId="26" applyNumberFormat="1" applyFont="1" applyFill="1" applyBorder="1"/>
    <xf numFmtId="49" fontId="32" fillId="7" borderId="90" xfId="26" applyNumberFormat="1" applyFont="1" applyFill="1" applyBorder="1" applyAlignment="1">
      <alignment horizontal="center"/>
    </xf>
    <xf numFmtId="0" fontId="32" fillId="7" borderId="90" xfId="26" applyFont="1" applyFill="1" applyBorder="1" applyAlignment="1">
      <alignment horizontal="center"/>
    </xf>
    <xf numFmtId="49" fontId="32" fillId="7" borderId="90" xfId="26" applyNumberFormat="1" applyFont="1" applyFill="1" applyBorder="1" applyAlignment="1">
      <alignment horizontal="center" vertical="center"/>
    </xf>
    <xf numFmtId="49" fontId="32" fillId="7" borderId="90" xfId="26" applyNumberFormat="1" applyFont="1" applyFill="1" applyBorder="1" applyAlignment="1">
      <alignment horizontal="center" vertical="center" wrapText="1"/>
    </xf>
    <xf numFmtId="10" fontId="30" fillId="7" borderId="90" xfId="26" applyNumberFormat="1" applyFont="1" applyFill="1" applyBorder="1"/>
    <xf numFmtId="49" fontId="29" fillId="7" borderId="96" xfId="26" applyNumberFormat="1" applyFill="1" applyBorder="1" applyAlignment="1">
      <alignment vertical="center"/>
    </xf>
    <xf numFmtId="0" fontId="33" fillId="7" borderId="0" xfId="26" applyFont="1" applyFill="1" applyBorder="1" applyAlignment="1">
      <alignment horizontal="right"/>
    </xf>
    <xf numFmtId="49" fontId="29" fillId="7" borderId="96" xfId="26" applyNumberFormat="1" applyFill="1" applyBorder="1"/>
    <xf numFmtId="49" fontId="35" fillId="7" borderId="90" xfId="26" applyNumberFormat="1" applyFont="1" applyFill="1" applyBorder="1" applyAlignment="1">
      <alignment horizontal="justify"/>
    </xf>
    <xf numFmtId="49" fontId="29" fillId="7" borderId="106" xfId="26" applyNumberFormat="1" applyFill="1" applyBorder="1"/>
    <xf numFmtId="0" fontId="29" fillId="7" borderId="107" xfId="26" applyFill="1" applyBorder="1" applyAlignment="1">
      <alignment vertical="center" wrapText="1"/>
    </xf>
    <xf numFmtId="0" fontId="29" fillId="7" borderId="108" xfId="26" applyFill="1" applyBorder="1" applyAlignment="1">
      <alignment vertical="center" wrapText="1"/>
    </xf>
    <xf numFmtId="49" fontId="30" fillId="7" borderId="90" xfId="26" applyNumberFormat="1" applyFont="1" applyFill="1" applyBorder="1"/>
    <xf numFmtId="49" fontId="29" fillId="7" borderId="109" xfId="26" applyNumberFormat="1" applyFill="1" applyBorder="1"/>
    <xf numFmtId="0" fontId="29" fillId="7" borderId="110" xfId="26" applyFill="1" applyBorder="1" applyAlignment="1">
      <alignment vertical="center" wrapText="1"/>
    </xf>
    <xf numFmtId="0" fontId="29" fillId="7" borderId="111" xfId="26" applyFill="1" applyBorder="1" applyAlignment="1">
      <alignment vertical="center" wrapText="1"/>
    </xf>
    <xf numFmtId="49" fontId="29" fillId="7" borderId="112" xfId="26" applyNumberFormat="1" applyFill="1" applyBorder="1"/>
    <xf numFmtId="0" fontId="30" fillId="7" borderId="113" xfId="26" applyFont="1" applyFill="1" applyBorder="1"/>
    <xf numFmtId="0" fontId="29" fillId="7" borderId="113" xfId="26" applyFill="1" applyBorder="1"/>
    <xf numFmtId="0" fontId="29" fillId="7" borderId="114" xfId="26" applyFill="1" applyBorder="1"/>
    <xf numFmtId="0" fontId="30" fillId="7" borderId="96" xfId="26" applyFont="1" applyFill="1" applyBorder="1"/>
    <xf numFmtId="0" fontId="30" fillId="7" borderId="93" xfId="26" applyFont="1" applyFill="1" applyBorder="1"/>
    <xf numFmtId="0" fontId="29" fillId="7" borderId="93" xfId="26" applyFill="1" applyBorder="1"/>
    <xf numFmtId="10" fontId="32" fillId="7" borderId="97" xfId="26" applyNumberFormat="1" applyFont="1" applyFill="1" applyBorder="1"/>
    <xf numFmtId="2" fontId="30" fillId="7" borderId="96" xfId="26" applyNumberFormat="1" applyFont="1" applyFill="1" applyBorder="1"/>
    <xf numFmtId="49" fontId="29" fillId="7" borderId="102" xfId="26" applyNumberFormat="1" applyFill="1" applyBorder="1" applyAlignment="1">
      <alignment vertical="center"/>
    </xf>
    <xf numFmtId="0" fontId="29" fillId="7" borderId="103" xfId="26" applyFill="1" applyBorder="1" applyAlignment="1">
      <alignment vertical="center"/>
    </xf>
    <xf numFmtId="0" fontId="29" fillId="7" borderId="104" xfId="26" applyFill="1" applyBorder="1" applyAlignment="1">
      <alignment vertical="center"/>
    </xf>
    <xf numFmtId="10" fontId="29" fillId="7" borderId="90" xfId="26" applyNumberFormat="1" applyFill="1" applyBorder="1" applyAlignment="1">
      <alignment horizontal="center" vertical="center"/>
    </xf>
    <xf numFmtId="49" fontId="29" fillId="6" borderId="102" xfId="26" applyNumberFormat="1" applyFill="1" applyBorder="1" applyAlignment="1">
      <alignment vertical="center"/>
    </xf>
    <xf numFmtId="0" fontId="29" fillId="6" borderId="103" xfId="26" applyFill="1" applyBorder="1" applyAlignment="1">
      <alignment vertical="center"/>
    </xf>
    <xf numFmtId="0" fontId="29" fillId="6" borderId="104" xfId="26" applyFill="1" applyBorder="1" applyAlignment="1">
      <alignment vertical="center"/>
    </xf>
    <xf numFmtId="10" fontId="30" fillId="7" borderId="90" xfId="26" applyNumberFormat="1" applyFont="1" applyFill="1" applyBorder="1" applyAlignment="1">
      <alignment horizontal="right"/>
    </xf>
    <xf numFmtId="10" fontId="32" fillId="7" borderId="97" xfId="26" applyNumberFormat="1" applyFont="1" applyFill="1" applyBorder="1" applyAlignment="1">
      <alignment horizontal="right"/>
    </xf>
    <xf numFmtId="49" fontId="30" fillId="8" borderId="101" xfId="26" applyNumberFormat="1" applyFont="1" applyFill="1" applyBorder="1" applyAlignment="1">
      <alignment horizontal="center" vertical="center"/>
    </xf>
    <xf numFmtId="49" fontId="30" fillId="8" borderId="101" xfId="26" applyNumberFormat="1" applyFont="1" applyFill="1" applyBorder="1" applyAlignment="1">
      <alignment horizontal="center" vertical="center" wrapText="1"/>
    </xf>
    <xf numFmtId="49" fontId="36" fillId="8" borderId="102" xfId="26" applyNumberFormat="1" applyFont="1" applyFill="1" applyBorder="1" applyAlignment="1">
      <alignment vertical="center"/>
    </xf>
    <xf numFmtId="0" fontId="36" fillId="8" borderId="103" xfId="26" applyFont="1" applyFill="1" applyBorder="1" applyAlignment="1">
      <alignment vertical="center"/>
    </xf>
    <xf numFmtId="0" fontId="36" fillId="8" borderId="104" xfId="26" applyFont="1" applyFill="1" applyBorder="1" applyAlignment="1">
      <alignment vertical="center"/>
    </xf>
    <xf numFmtId="10" fontId="36" fillId="8" borderId="90" xfId="26" applyNumberFormat="1" applyFont="1" applyFill="1" applyBorder="1" applyAlignment="1">
      <alignment horizontal="center" vertical="center"/>
    </xf>
    <xf numFmtId="49" fontId="30" fillId="7" borderId="93" xfId="26" applyNumberFormat="1" applyFont="1" applyFill="1" applyBorder="1"/>
    <xf numFmtId="49" fontId="30" fillId="7" borderId="0" xfId="26" applyNumberFormat="1" applyFont="1" applyFill="1" applyBorder="1"/>
    <xf numFmtId="0" fontId="9" fillId="0" borderId="0" xfId="0" applyFont="1" applyFill="1" applyBorder="1" applyAlignment="1">
      <alignment horizontal="center"/>
    </xf>
    <xf numFmtId="167" fontId="4" fillId="2" borderId="46" xfId="0" applyNumberFormat="1" applyFont="1" applyFill="1" applyBorder="1" applyAlignment="1">
      <alignment vertical="center"/>
    </xf>
    <xf numFmtId="167" fontId="4" fillId="2" borderId="19" xfId="0" applyNumberFormat="1" applyFont="1" applyFill="1" applyBorder="1" applyAlignment="1">
      <alignment horizontal="right" vertical="center"/>
    </xf>
    <xf numFmtId="10" fontId="4" fillId="4" borderId="5" xfId="0" applyNumberFormat="1" applyFont="1" applyFill="1" applyBorder="1" applyAlignment="1">
      <alignment horizontal="center" vertical="center"/>
    </xf>
    <xf numFmtId="167" fontId="4" fillId="4" borderId="5" xfId="0" applyNumberFormat="1" applyFont="1" applyFill="1" applyBorder="1" applyAlignment="1">
      <alignment horizontal="center" vertical="center" wrapText="1"/>
    </xf>
    <xf numFmtId="9" fontId="4" fillId="4" borderId="5" xfId="0" applyNumberFormat="1" applyFont="1" applyFill="1" applyBorder="1" applyAlignment="1">
      <alignment horizontal="center" vertical="center" wrapText="1"/>
    </xf>
    <xf numFmtId="0" fontId="4" fillId="2" borderId="7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right" vertical="center"/>
    </xf>
    <xf numFmtId="43" fontId="4" fillId="2" borderId="0" xfId="1" applyFont="1" applyFill="1" applyBorder="1" applyAlignment="1">
      <alignment horizontal="center" vertical="center"/>
    </xf>
    <xf numFmtId="43" fontId="4" fillId="2" borderId="0" xfId="1" applyFont="1" applyFill="1" applyBorder="1" applyAlignment="1">
      <alignment vertical="center"/>
    </xf>
    <xf numFmtId="43" fontId="4" fillId="2" borderId="33" xfId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horizontal="center" vertical="center"/>
    </xf>
    <xf numFmtId="4" fontId="4" fillId="2" borderId="25" xfId="1" applyNumberFormat="1" applyFont="1" applyFill="1" applyBorder="1" applyAlignment="1">
      <alignment horizontal="right" vertical="center"/>
    </xf>
    <xf numFmtId="4" fontId="4" fillId="2" borderId="33" xfId="0" applyNumberFormat="1" applyFont="1" applyFill="1" applyBorder="1" applyAlignment="1">
      <alignment horizontal="right" vertical="center"/>
    </xf>
    <xf numFmtId="10" fontId="4" fillId="4" borderId="5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7" xfId="2" applyFont="1" applyFill="1" applyBorder="1" applyAlignment="1">
      <alignment horizontal="center" vertical="center" wrapText="1"/>
    </xf>
    <xf numFmtId="9" fontId="5" fillId="0" borderId="5" xfId="2" applyNumberFormat="1" applyFont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 wrapText="1"/>
    </xf>
    <xf numFmtId="9" fontId="5" fillId="0" borderId="47" xfId="2" applyNumberFormat="1" applyFont="1" applyFill="1" applyBorder="1" applyAlignment="1">
      <alignment horizontal="center" vertical="center" wrapText="1"/>
    </xf>
    <xf numFmtId="0" fontId="5" fillId="0" borderId="47" xfId="2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7" fontId="5" fillId="2" borderId="119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0" borderId="6" xfId="2" applyFont="1" applyBorder="1"/>
    <xf numFmtId="0" fontId="5" fillId="0" borderId="75" xfId="2" applyFont="1" applyFill="1" applyBorder="1" applyAlignment="1">
      <alignment horizontal="center" vertical="center" wrapText="1"/>
    </xf>
    <xf numFmtId="0" fontId="5" fillId="2" borderId="75" xfId="2" applyFont="1" applyFill="1" applyBorder="1" applyAlignment="1">
      <alignment horizontal="center" vertical="center" wrapText="1"/>
    </xf>
    <xf numFmtId="44" fontId="24" fillId="0" borderId="75" xfId="21" applyFont="1" applyBorder="1" applyAlignment="1">
      <alignment vertical="center"/>
    </xf>
    <xf numFmtId="0" fontId="9" fillId="0" borderId="35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 wrapText="1"/>
    </xf>
    <xf numFmtId="0" fontId="9" fillId="0" borderId="121" xfId="2" applyFont="1" applyBorder="1" applyAlignment="1">
      <alignment horizontal="center" vertical="center" wrapText="1"/>
    </xf>
    <xf numFmtId="0" fontId="5" fillId="2" borderId="13" xfId="25" applyFont="1" applyFill="1" applyBorder="1" applyAlignment="1">
      <alignment horizontal="center" vertical="center" wrapText="1"/>
    </xf>
    <xf numFmtId="0" fontId="5" fillId="3" borderId="6" xfId="25" applyFont="1" applyFill="1" applyBorder="1" applyAlignment="1">
      <alignment horizontal="justify" vertical="justify" wrapText="1"/>
    </xf>
    <xf numFmtId="0" fontId="5" fillId="2" borderId="75" xfId="25" applyFont="1" applyFill="1" applyBorder="1" applyAlignment="1">
      <alignment horizontal="center" vertical="center" wrapText="1"/>
    </xf>
    <xf numFmtId="0" fontId="5" fillId="3" borderId="75" xfId="25" applyFont="1" applyFill="1" applyBorder="1" applyAlignment="1">
      <alignment horizontal="justify" vertical="justify" wrapText="1"/>
    </xf>
    <xf numFmtId="167" fontId="5" fillId="0" borderId="75" xfId="19" applyNumberFormat="1" applyFont="1" applyBorder="1" applyAlignment="1">
      <alignment vertical="center" wrapText="1"/>
    </xf>
    <xf numFmtId="167" fontId="5" fillId="2" borderId="75" xfId="19" applyNumberFormat="1" applyFont="1" applyFill="1" applyBorder="1" applyAlignment="1">
      <alignment vertical="center" wrapText="1"/>
    </xf>
    <xf numFmtId="167" fontId="24" fillId="0" borderId="7" xfId="21" applyNumberFormat="1" applyFont="1" applyBorder="1" applyAlignment="1">
      <alignment horizontal="right" vertical="center" indent="1"/>
    </xf>
    <xf numFmtId="0" fontId="5" fillId="0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 wrapText="1"/>
    </xf>
    <xf numFmtId="0" fontId="5" fillId="0" borderId="5" xfId="2" applyFont="1" applyFill="1" applyBorder="1" applyAlignment="1">
      <alignment horizontal="justify"/>
    </xf>
    <xf numFmtId="0" fontId="5" fillId="0" borderId="5" xfId="2" applyFont="1" applyFill="1" applyBorder="1" applyAlignment="1">
      <alignment horizontal="center" wrapText="1"/>
    </xf>
    <xf numFmtId="9" fontId="5" fillId="0" borderId="5" xfId="3" applyFont="1" applyFill="1" applyBorder="1" applyAlignment="1">
      <alignment horizontal="center" wrapText="1"/>
    </xf>
    <xf numFmtId="0" fontId="5" fillId="0" borderId="5" xfId="2" applyFont="1" applyFill="1" applyBorder="1" applyAlignment="1">
      <alignment horizontal="justify" wrapText="1"/>
    </xf>
    <xf numFmtId="3" fontId="5" fillId="2" borderId="5" xfId="2" applyNumberFormat="1" applyFont="1" applyFill="1" applyBorder="1" applyAlignment="1">
      <alignment horizontal="center" wrapText="1"/>
    </xf>
    <xf numFmtId="167" fontId="24" fillId="0" borderId="5" xfId="21" applyNumberFormat="1" applyFont="1" applyBorder="1" applyAlignment="1">
      <alignment horizontal="right" vertical="center" indent="1"/>
    </xf>
    <xf numFmtId="167" fontId="24" fillId="0" borderId="122" xfId="21" applyNumberFormat="1" applyFont="1" applyBorder="1" applyAlignment="1">
      <alignment horizontal="right" vertical="center" indent="1"/>
    </xf>
    <xf numFmtId="167" fontId="38" fillId="0" borderId="19" xfId="21" applyNumberFormat="1" applyFont="1" applyBorder="1" applyAlignment="1">
      <alignment horizontal="right" vertical="center" indent="1"/>
    </xf>
    <xf numFmtId="167" fontId="24" fillId="0" borderId="18" xfId="21" applyNumberFormat="1" applyFont="1" applyBorder="1" applyAlignment="1">
      <alignment horizontal="right" vertical="center" indent="1"/>
    </xf>
    <xf numFmtId="167" fontId="38" fillId="0" borderId="123" xfId="21" applyNumberFormat="1" applyFont="1" applyBorder="1" applyAlignment="1">
      <alignment horizontal="right" vertical="center" indent="1"/>
    </xf>
    <xf numFmtId="0" fontId="6" fillId="0" borderId="0" xfId="2" applyFont="1" applyFill="1" applyBorder="1"/>
    <xf numFmtId="4" fontId="5" fillId="0" borderId="4" xfId="2" applyNumberFormat="1" applyFill="1" applyBorder="1" applyAlignment="1">
      <alignment horizontal="center" vertical="center"/>
    </xf>
    <xf numFmtId="167" fontId="5" fillId="0" borderId="7" xfId="0" applyNumberFormat="1" applyFont="1" applyFill="1" applyBorder="1" applyAlignment="1">
      <alignment horizontal="center" vertical="center" wrapText="1"/>
    </xf>
    <xf numFmtId="167" fontId="5" fillId="0" borderId="18" xfId="0" applyNumberFormat="1" applyFont="1" applyFill="1" applyBorder="1" applyAlignment="1">
      <alignment horizontal="center" vertical="center" wrapText="1"/>
    </xf>
    <xf numFmtId="167" fontId="5" fillId="0" borderId="19" xfId="0" applyNumberFormat="1" applyFont="1" applyFill="1" applyBorder="1" applyAlignment="1">
      <alignment horizontal="center" vertical="center" wrapText="1"/>
    </xf>
    <xf numFmtId="167" fontId="5" fillId="0" borderId="79" xfId="0" applyNumberFormat="1" applyFont="1" applyFill="1" applyBorder="1" applyAlignment="1">
      <alignment horizontal="center" vertical="center" wrapText="1"/>
    </xf>
    <xf numFmtId="3" fontId="5" fillId="0" borderId="10" xfId="2" applyNumberFormat="1" applyFont="1" applyFill="1" applyBorder="1" applyAlignment="1">
      <alignment horizontal="center" vertical="center" wrapText="1"/>
    </xf>
    <xf numFmtId="167" fontId="5" fillId="0" borderId="126" xfId="0" applyNumberFormat="1" applyFont="1" applyFill="1" applyBorder="1" applyAlignment="1">
      <alignment horizontal="center" vertical="center" wrapText="1"/>
    </xf>
    <xf numFmtId="167" fontId="5" fillId="0" borderId="122" xfId="0" applyNumberFormat="1" applyFont="1" applyFill="1" applyBorder="1" applyAlignment="1">
      <alignment horizontal="center" vertical="center" wrapText="1"/>
    </xf>
    <xf numFmtId="167" fontId="5" fillId="0" borderId="123" xfId="0" applyNumberFormat="1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/>
    </xf>
    <xf numFmtId="3" fontId="5" fillId="0" borderId="46" xfId="2" applyNumberFormat="1" applyFont="1" applyFill="1" applyBorder="1" applyAlignment="1">
      <alignment horizontal="center" vertical="center"/>
    </xf>
    <xf numFmtId="168" fontId="9" fillId="0" borderId="19" xfId="2" applyNumberFormat="1" applyFont="1" applyFill="1" applyBorder="1" applyAlignment="1">
      <alignment horizontal="left" vertical="center" indent="10"/>
    </xf>
    <xf numFmtId="0" fontId="23" fillId="2" borderId="78" xfId="0" applyFont="1" applyFill="1" applyBorder="1" applyAlignment="1">
      <alignment horizontal="left" vertical="center"/>
    </xf>
    <xf numFmtId="0" fontId="28" fillId="2" borderId="2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49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justify" vertical="center"/>
    </xf>
    <xf numFmtId="0" fontId="27" fillId="4" borderId="1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41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27" fillId="4" borderId="29" xfId="0" applyFont="1" applyFill="1" applyBorder="1" applyAlignment="1">
      <alignment horizontal="center" vertical="center" wrapText="1"/>
    </xf>
    <xf numFmtId="0" fontId="27" fillId="4" borderId="22" xfId="0" applyFont="1" applyFill="1" applyBorder="1" applyAlignment="1">
      <alignment horizontal="center" vertical="center" wrapText="1"/>
    </xf>
    <xf numFmtId="0" fontId="27" fillId="4" borderId="42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4" fontId="4" fillId="2" borderId="3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4" fillId="4" borderId="32" xfId="2" applyFont="1" applyFill="1" applyBorder="1" applyAlignment="1">
      <alignment horizontal="center" vertical="center" wrapText="1"/>
    </xf>
    <xf numFmtId="0" fontId="14" fillId="4" borderId="33" xfId="2" applyFont="1" applyFill="1" applyBorder="1" applyAlignment="1">
      <alignment horizontal="center" vertical="center" wrapText="1"/>
    </xf>
    <xf numFmtId="0" fontId="14" fillId="4" borderId="34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4" borderId="80" xfId="2" applyFont="1" applyFill="1" applyBorder="1" applyAlignment="1">
      <alignment horizontal="center" vertical="center" wrapText="1"/>
    </xf>
    <xf numFmtId="0" fontId="9" fillId="4" borderId="3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" fontId="5" fillId="0" borderId="21" xfId="2" applyNumberFormat="1" applyFill="1" applyBorder="1" applyAlignment="1">
      <alignment horizontal="center" vertical="center"/>
    </xf>
    <xf numFmtId="0" fontId="5" fillId="0" borderId="117" xfId="2" applyFill="1" applyBorder="1" applyAlignment="1">
      <alignment horizontal="center" vertical="center"/>
    </xf>
    <xf numFmtId="0" fontId="5" fillId="0" borderId="118" xfId="2" applyFill="1" applyBorder="1" applyAlignment="1">
      <alignment horizontal="center" vertical="center"/>
    </xf>
    <xf numFmtId="0" fontId="9" fillId="4" borderId="8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14" fillId="0" borderId="23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0" borderId="120" xfId="2" applyFont="1" applyFill="1" applyBorder="1" applyAlignment="1">
      <alignment horizontal="center" vertical="center" wrapText="1"/>
    </xf>
    <xf numFmtId="0" fontId="9" fillId="0" borderId="30" xfId="2" applyFont="1" applyFill="1" applyBorder="1" applyAlignment="1">
      <alignment horizontal="center" vertical="center" wrapText="1"/>
    </xf>
    <xf numFmtId="0" fontId="9" fillId="0" borderId="28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17" fontId="5" fillId="2" borderId="82" xfId="2" applyNumberFormat="1" applyFont="1" applyFill="1" applyBorder="1" applyAlignment="1">
      <alignment horizontal="center" wrapText="1"/>
    </xf>
    <xf numFmtId="17" fontId="5" fillId="2" borderId="43" xfId="2" applyNumberFormat="1" applyFont="1" applyFill="1" applyBorder="1" applyAlignment="1">
      <alignment horizontal="center" wrapText="1"/>
    </xf>
    <xf numFmtId="17" fontId="5" fillId="2" borderId="10" xfId="2" applyNumberFormat="1" applyFont="1" applyFill="1" applyBorder="1" applyAlignment="1">
      <alignment horizontal="center" wrapText="1"/>
    </xf>
    <xf numFmtId="0" fontId="9" fillId="0" borderId="0" xfId="2" applyFont="1" applyAlignment="1">
      <alignment horizontal="justify" vertical="center"/>
    </xf>
    <xf numFmtId="0" fontId="9" fillId="0" borderId="0" xfId="2" applyFont="1" applyFill="1" applyAlignment="1">
      <alignment horizontal="justify" vertical="justify" wrapText="1"/>
    </xf>
    <xf numFmtId="0" fontId="5" fillId="0" borderId="0" xfId="2" applyFill="1" applyAlignment="1">
      <alignment horizontal="justify" vertical="justify" wrapText="1"/>
    </xf>
    <xf numFmtId="0" fontId="9" fillId="0" borderId="80" xfId="2" applyFont="1" applyFill="1" applyBorder="1" applyAlignment="1">
      <alignment horizontal="center" vertical="center" wrapText="1"/>
    </xf>
    <xf numFmtId="0" fontId="9" fillId="0" borderId="31" xfId="2" applyFont="1" applyFill="1" applyBorder="1" applyAlignment="1">
      <alignment horizontal="center" vertical="center" wrapText="1"/>
    </xf>
    <xf numFmtId="0" fontId="9" fillId="6" borderId="124" xfId="2" applyFont="1" applyFill="1" applyBorder="1" applyAlignment="1">
      <alignment horizontal="center" vertical="center"/>
    </xf>
    <xf numFmtId="0" fontId="9" fillId="6" borderId="75" xfId="2" applyFont="1" applyFill="1" applyBorder="1" applyAlignment="1">
      <alignment horizontal="center" vertical="center"/>
    </xf>
    <xf numFmtId="0" fontId="9" fillId="6" borderId="125" xfId="2" applyFont="1" applyFill="1" applyBorder="1" applyAlignment="1">
      <alignment horizontal="center" vertical="center"/>
    </xf>
    <xf numFmtId="0" fontId="9" fillId="4" borderId="6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20" xfId="2" applyFont="1" applyFill="1" applyBorder="1" applyAlignment="1">
      <alignment horizontal="center" vertical="center" wrapText="1"/>
    </xf>
    <xf numFmtId="4" fontId="5" fillId="0" borderId="21" xfId="0" applyNumberFormat="1" applyFont="1" applyFill="1" applyBorder="1" applyAlignment="1">
      <alignment horizontal="center" vertical="center" wrapText="1"/>
    </xf>
    <xf numFmtId="0" fontId="5" fillId="0" borderId="117" xfId="0" applyFont="1" applyFill="1" applyBorder="1" applyAlignment="1">
      <alignment horizontal="center" vertical="center" wrapText="1"/>
    </xf>
    <xf numFmtId="0" fontId="5" fillId="0" borderId="118" xfId="0" applyFont="1" applyFill="1" applyBorder="1" applyAlignment="1">
      <alignment horizontal="center" vertical="center" wrapText="1"/>
    </xf>
    <xf numFmtId="0" fontId="21" fillId="0" borderId="79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9" fillId="2" borderId="17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4" borderId="79" xfId="2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2" fillId="7" borderId="97" xfId="26" applyNumberFormat="1" applyFont="1" applyFill="1" applyBorder="1" applyAlignment="1">
      <alignment horizontal="left"/>
    </xf>
    <xf numFmtId="0" fontId="32" fillId="7" borderId="97" xfId="26" applyFont="1" applyFill="1" applyBorder="1" applyAlignment="1">
      <alignment horizontal="left"/>
    </xf>
    <xf numFmtId="49" fontId="32" fillId="8" borderId="115" xfId="26" applyNumberFormat="1" applyFont="1" applyFill="1" applyBorder="1" applyAlignment="1">
      <alignment horizontal="center" vertical="center" wrapText="1"/>
    </xf>
    <xf numFmtId="49" fontId="32" fillId="8" borderId="116" xfId="26" applyNumberFormat="1" applyFont="1" applyFill="1" applyBorder="1" applyAlignment="1">
      <alignment horizontal="center" vertical="center" wrapText="1"/>
    </xf>
    <xf numFmtId="49" fontId="32" fillId="8" borderId="98" xfId="26" applyNumberFormat="1" applyFont="1" applyFill="1" applyBorder="1" applyAlignment="1">
      <alignment horizontal="center" vertical="center" wrapText="1"/>
    </xf>
    <xf numFmtId="49" fontId="32" fillId="8" borderId="99" xfId="26" applyNumberFormat="1" applyFont="1" applyFill="1" applyBorder="1" applyAlignment="1">
      <alignment horizontal="center" vertical="center" wrapText="1"/>
    </xf>
    <xf numFmtId="10" fontId="29" fillId="7" borderId="95" xfId="26" applyNumberFormat="1" applyFill="1" applyBorder="1" applyAlignment="1">
      <alignment horizontal="center" vertical="center"/>
    </xf>
    <xf numFmtId="0" fontId="29" fillId="7" borderId="100" xfId="26" applyFill="1" applyBorder="1" applyAlignment="1">
      <alignment horizontal="center" vertical="center"/>
    </xf>
    <xf numFmtId="10" fontId="21" fillId="7" borderId="102" xfId="26" applyNumberFormat="1" applyFont="1" applyFill="1" applyBorder="1" applyAlignment="1">
      <alignment horizontal="center"/>
    </xf>
    <xf numFmtId="10" fontId="21" fillId="7" borderId="104" xfId="26" applyNumberFormat="1" applyFont="1" applyFill="1" applyBorder="1" applyAlignment="1">
      <alignment horizontal="center"/>
    </xf>
    <xf numFmtId="49" fontId="32" fillId="6" borderId="102" xfId="26" applyNumberFormat="1" applyFont="1" applyFill="1" applyBorder="1" applyAlignment="1">
      <alignment horizontal="center" vertical="center"/>
    </xf>
    <xf numFmtId="0" fontId="32" fillId="6" borderId="103" xfId="26" applyFont="1" applyFill="1" applyBorder="1" applyAlignment="1">
      <alignment horizontal="center" vertical="center"/>
    </xf>
    <xf numFmtId="0" fontId="32" fillId="6" borderId="104" xfId="26" applyFont="1" applyFill="1" applyBorder="1" applyAlignment="1">
      <alignment horizontal="center" vertical="center"/>
    </xf>
    <xf numFmtId="10" fontId="30" fillId="7" borderId="90" xfId="26" applyNumberFormat="1" applyFont="1" applyFill="1" applyBorder="1" applyAlignment="1">
      <alignment horizontal="right"/>
    </xf>
    <xf numFmtId="49" fontId="29" fillId="6" borderId="102" xfId="26" applyNumberFormat="1" applyFill="1" applyBorder="1" applyAlignment="1">
      <alignment horizontal="center" vertical="center"/>
    </xf>
    <xf numFmtId="0" fontId="29" fillId="6" borderId="104" xfId="26" applyFill="1" applyBorder="1" applyAlignment="1">
      <alignment horizontal="center" vertical="center"/>
    </xf>
    <xf numFmtId="10" fontId="30" fillId="7" borderId="102" xfId="26" applyNumberFormat="1" applyFont="1" applyFill="1" applyBorder="1" applyAlignment="1">
      <alignment horizontal="center"/>
    </xf>
    <xf numFmtId="10" fontId="30" fillId="7" borderId="104" xfId="26" applyNumberFormat="1" applyFont="1" applyFill="1" applyBorder="1" applyAlignment="1">
      <alignment horizontal="center"/>
    </xf>
    <xf numFmtId="49" fontId="32" fillId="7" borderId="88" xfId="26" applyNumberFormat="1" applyFont="1" applyFill="1" applyBorder="1" applyAlignment="1">
      <alignment horizontal="center" vertical="center"/>
    </xf>
    <xf numFmtId="0" fontId="32" fillId="7" borderId="88" xfId="26" applyFont="1" applyFill="1" applyBorder="1" applyAlignment="1">
      <alignment horizontal="center" vertical="center"/>
    </xf>
    <xf numFmtId="49" fontId="32" fillId="8" borderId="102" xfId="26" applyNumberFormat="1" applyFont="1" applyFill="1" applyBorder="1" applyAlignment="1">
      <alignment horizontal="center" vertical="center" wrapText="1"/>
    </xf>
    <xf numFmtId="0" fontId="32" fillId="8" borderId="103" xfId="26" applyFont="1" applyFill="1" applyBorder="1" applyAlignment="1">
      <alignment horizontal="center" vertical="center" wrapText="1"/>
    </xf>
    <xf numFmtId="0" fontId="32" fillId="8" borderId="104" xfId="26" applyFont="1" applyFill="1" applyBorder="1" applyAlignment="1">
      <alignment horizontal="center" vertical="center" wrapText="1"/>
    </xf>
    <xf numFmtId="10" fontId="33" fillId="7" borderId="102" xfId="26" applyNumberFormat="1" applyFont="1" applyFill="1" applyBorder="1" applyAlignment="1">
      <alignment horizontal="center"/>
    </xf>
    <xf numFmtId="10" fontId="33" fillId="7" borderId="104" xfId="26" applyNumberFormat="1" applyFont="1" applyFill="1" applyBorder="1" applyAlignment="1">
      <alignment horizontal="center"/>
    </xf>
    <xf numFmtId="10" fontId="32" fillId="8" borderId="102" xfId="26" applyNumberFormat="1" applyFont="1" applyFill="1" applyBorder="1" applyAlignment="1">
      <alignment horizontal="center" vertical="center" wrapText="1"/>
    </xf>
    <xf numFmtId="10" fontId="32" fillId="8" borderId="104" xfId="26" applyNumberFormat="1" applyFont="1" applyFill="1" applyBorder="1" applyAlignment="1">
      <alignment horizontal="center" vertical="center" wrapText="1"/>
    </xf>
    <xf numFmtId="10" fontId="29" fillId="7" borderId="100" xfId="26" applyNumberFormat="1" applyFill="1" applyBorder="1" applyAlignment="1">
      <alignment horizontal="center" vertical="center"/>
    </xf>
    <xf numFmtId="49" fontId="32" fillId="7" borderId="101" xfId="26" applyNumberFormat="1" applyFont="1" applyFill="1" applyBorder="1" applyAlignment="1">
      <alignment horizontal="center"/>
    </xf>
    <xf numFmtId="0" fontId="32" fillId="7" borderId="101" xfId="26" applyFont="1" applyFill="1" applyBorder="1" applyAlignment="1">
      <alignment horizontal="center"/>
    </xf>
    <xf numFmtId="10" fontId="32" fillId="7" borderId="97" xfId="26" applyNumberFormat="1" applyFont="1" applyFill="1" applyBorder="1" applyAlignment="1">
      <alignment horizontal="center"/>
    </xf>
    <xf numFmtId="49" fontId="29" fillId="7" borderId="92" xfId="26" applyNumberFormat="1" applyFill="1" applyBorder="1" applyAlignment="1">
      <alignment horizontal="left" vertical="center"/>
    </xf>
    <xf numFmtId="0" fontId="29" fillId="7" borderId="93" xfId="26" applyFill="1" applyBorder="1" applyAlignment="1">
      <alignment horizontal="left" vertical="center"/>
    </xf>
    <xf numFmtId="0" fontId="29" fillId="7" borderId="94" xfId="26" applyFill="1" applyBorder="1" applyAlignment="1">
      <alignment horizontal="left" vertical="center"/>
    </xf>
    <xf numFmtId="0" fontId="29" fillId="7" borderId="98" xfId="26" applyFill="1" applyBorder="1" applyAlignment="1">
      <alignment horizontal="left" vertical="center"/>
    </xf>
    <xf numFmtId="0" fontId="29" fillId="7" borderId="88" xfId="26" applyFill="1" applyBorder="1" applyAlignment="1">
      <alignment horizontal="left" vertical="center"/>
    </xf>
    <xf numFmtId="0" fontId="29" fillId="7" borderId="99" xfId="26" applyFill="1" applyBorder="1" applyAlignment="1">
      <alignment horizontal="left" vertical="center"/>
    </xf>
    <xf numFmtId="49" fontId="33" fillId="7" borderId="92" xfId="26" applyNumberFormat="1" applyFont="1" applyFill="1" applyBorder="1" applyAlignment="1">
      <alignment horizontal="left"/>
    </xf>
    <xf numFmtId="0" fontId="33" fillId="7" borderId="93" xfId="26" applyFont="1" applyFill="1" applyBorder="1" applyAlignment="1">
      <alignment horizontal="left"/>
    </xf>
    <xf numFmtId="49" fontId="33" fillId="7" borderId="102" xfId="26" applyNumberFormat="1" applyFont="1" applyFill="1" applyBorder="1" applyAlignment="1">
      <alignment horizontal="left"/>
    </xf>
    <xf numFmtId="0" fontId="33" fillId="7" borderId="104" xfId="26" applyFont="1" applyFill="1" applyBorder="1" applyAlignment="1">
      <alignment horizontal="left"/>
    </xf>
    <xf numFmtId="49" fontId="37" fillId="7" borderId="0" xfId="26" applyNumberFormat="1" applyFont="1" applyFill="1" applyBorder="1" applyAlignment="1">
      <alignment horizontal="center" wrapText="1"/>
    </xf>
    <xf numFmtId="0" fontId="37" fillId="7" borderId="0" xfId="26" applyFont="1" applyFill="1" applyBorder="1" applyAlignment="1">
      <alignment horizontal="center" wrapText="1"/>
    </xf>
    <xf numFmtId="49" fontId="33" fillId="7" borderId="88" xfId="26" applyNumberFormat="1" applyFont="1" applyFill="1" applyBorder="1" applyAlignment="1">
      <alignment horizontal="center" wrapText="1"/>
    </xf>
    <xf numFmtId="0" fontId="33" fillId="7" borderId="88" xfId="26" applyFont="1" applyFill="1" applyBorder="1" applyAlignment="1">
      <alignment horizontal="center" wrapText="1"/>
    </xf>
    <xf numFmtId="49" fontId="33" fillId="5" borderId="90" xfId="26" applyNumberFormat="1" applyFont="1" applyFill="1" applyBorder="1" applyAlignment="1">
      <alignment horizontal="center" vertical="center" wrapText="1"/>
    </xf>
    <xf numFmtId="0" fontId="33" fillId="5" borderId="97" xfId="26" applyFont="1" applyFill="1" applyBorder="1" applyAlignment="1">
      <alignment horizontal="center" vertical="center" wrapText="1"/>
    </xf>
    <xf numFmtId="49" fontId="33" fillId="6" borderId="90" xfId="26" applyNumberFormat="1" applyFont="1" applyFill="1" applyBorder="1" applyAlignment="1">
      <alignment horizontal="center" vertical="center" wrapText="1"/>
    </xf>
    <xf numFmtId="0" fontId="33" fillId="6" borderId="97" xfId="26" applyFont="1" applyFill="1" applyBorder="1" applyAlignment="1">
      <alignment horizontal="center" vertical="center" wrapText="1"/>
    </xf>
    <xf numFmtId="0" fontId="33" fillId="6" borderId="90" xfId="26" applyFont="1" applyFill="1" applyBorder="1" applyAlignment="1">
      <alignment horizontal="center" vertical="center" wrapText="1"/>
    </xf>
    <xf numFmtId="49" fontId="33" fillId="6" borderId="92" xfId="26" applyNumberFormat="1" applyFont="1" applyFill="1" applyBorder="1" applyAlignment="1">
      <alignment horizontal="center" vertical="center" wrapText="1"/>
    </xf>
    <xf numFmtId="0" fontId="33" fillId="6" borderId="93" xfId="26" applyFont="1" applyFill="1" applyBorder="1" applyAlignment="1">
      <alignment horizontal="center" vertical="center" wrapText="1"/>
    </xf>
    <xf numFmtId="0" fontId="33" fillId="6" borderId="94" xfId="26" applyFont="1" applyFill="1" applyBorder="1" applyAlignment="1">
      <alignment horizontal="center" vertical="center" wrapText="1"/>
    </xf>
    <xf numFmtId="0" fontId="33" fillId="6" borderId="98" xfId="26" applyFont="1" applyFill="1" applyBorder="1" applyAlignment="1">
      <alignment horizontal="center" vertical="center" wrapText="1"/>
    </xf>
    <xf numFmtId="0" fontId="33" fillId="6" borderId="88" xfId="26" applyFont="1" applyFill="1" applyBorder="1" applyAlignment="1">
      <alignment horizontal="center" vertical="center" wrapText="1"/>
    </xf>
    <xf numFmtId="0" fontId="33" fillId="6" borderId="99" xfId="26" applyFont="1" applyFill="1" applyBorder="1" applyAlignment="1">
      <alignment horizontal="center" vertical="center" wrapText="1"/>
    </xf>
    <xf numFmtId="49" fontId="33" fillId="7" borderId="102" xfId="26" applyNumberFormat="1" applyFont="1" applyFill="1" applyBorder="1" applyAlignment="1">
      <alignment horizontal="center"/>
    </xf>
    <xf numFmtId="0" fontId="33" fillId="7" borderId="103" xfId="26" applyFont="1" applyFill="1" applyBorder="1" applyAlignment="1">
      <alignment horizontal="center"/>
    </xf>
    <xf numFmtId="0" fontId="33" fillId="7" borderId="104" xfId="26" applyFont="1" applyFill="1" applyBorder="1" applyAlignment="1">
      <alignment horizontal="center"/>
    </xf>
    <xf numFmtId="49" fontId="33" fillId="6" borderId="94" xfId="26" applyNumberFormat="1" applyFont="1" applyFill="1" applyBorder="1" applyAlignment="1">
      <alignment horizontal="center" vertical="center" wrapText="1"/>
    </xf>
    <xf numFmtId="49" fontId="33" fillId="6" borderId="98" xfId="26" applyNumberFormat="1" applyFont="1" applyFill="1" applyBorder="1" applyAlignment="1">
      <alignment horizontal="center" vertical="center" wrapText="1"/>
    </xf>
    <xf numFmtId="49" fontId="33" fillId="6" borderId="99" xfId="26" applyNumberFormat="1" applyFont="1" applyFill="1" applyBorder="1" applyAlignment="1">
      <alignment horizontal="center" vertical="center" wrapText="1"/>
    </xf>
    <xf numFmtId="49" fontId="33" fillId="7" borderId="104" xfId="26" applyNumberFormat="1" applyFont="1" applyFill="1" applyBorder="1" applyAlignment="1">
      <alignment horizontal="center"/>
    </xf>
    <xf numFmtId="0" fontId="9" fillId="0" borderId="0" xfId="2" applyFont="1" applyBorder="1" applyAlignment="1">
      <alignment horizontal="center" vertical="center" wrapText="1"/>
    </xf>
    <xf numFmtId="0" fontId="9" fillId="3" borderId="44" xfId="2" applyFont="1" applyFill="1" applyBorder="1" applyAlignment="1">
      <alignment horizontal="center" vertical="center" wrapText="1"/>
    </xf>
    <xf numFmtId="0" fontId="9" fillId="3" borderId="45" xfId="2" applyFont="1" applyFill="1" applyBorder="1" applyAlignment="1">
      <alignment horizontal="center" vertical="center" wrapText="1"/>
    </xf>
    <xf numFmtId="0" fontId="9" fillId="3" borderId="46" xfId="2" applyFont="1" applyFill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32" xfId="2" applyFont="1" applyFill="1" applyBorder="1" applyAlignment="1">
      <alignment horizontal="center" vertical="center" wrapText="1"/>
    </xf>
    <xf numFmtId="0" fontId="9" fillId="0" borderId="33" xfId="2" applyFont="1" applyFill="1" applyBorder="1" applyAlignment="1">
      <alignment horizontal="center" vertical="center" wrapText="1"/>
    </xf>
    <xf numFmtId="0" fontId="9" fillId="0" borderId="34" xfId="2" applyFont="1" applyFill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 wrapText="1"/>
    </xf>
    <xf numFmtId="0" fontId="9" fillId="0" borderId="121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/>
    </xf>
    <xf numFmtId="0" fontId="11" fillId="0" borderId="0" xfId="2" applyFont="1" applyFill="1" applyBorder="1" applyAlignment="1">
      <alignment horizontal="justify" vertical="justify" wrapText="1"/>
    </xf>
    <xf numFmtId="0" fontId="11" fillId="0" borderId="0" xfId="2" applyFont="1" applyAlignment="1">
      <alignment horizontal="justify" vertical="justify" wrapText="1"/>
    </xf>
    <xf numFmtId="0" fontId="14" fillId="0" borderId="0" xfId="2" applyFont="1" applyFill="1" applyBorder="1" applyAlignment="1">
      <alignment horizontal="center" wrapText="1"/>
    </xf>
    <xf numFmtId="0" fontId="14" fillId="0" borderId="0" xfId="2" applyFont="1" applyFill="1" applyBorder="1" applyAlignment="1">
      <alignment horizontal="center"/>
    </xf>
    <xf numFmtId="0" fontId="9" fillId="0" borderId="44" xfId="2" applyFont="1" applyFill="1" applyBorder="1" applyAlignment="1">
      <alignment horizontal="center" vertical="center" wrapText="1"/>
    </xf>
    <xf numFmtId="0" fontId="9" fillId="0" borderId="45" xfId="2" applyFont="1" applyFill="1" applyBorder="1" applyAlignment="1">
      <alignment horizontal="center" vertical="center" wrapText="1"/>
    </xf>
    <xf numFmtId="0" fontId="9" fillId="0" borderId="46" xfId="2" applyFont="1" applyFill="1" applyBorder="1" applyAlignment="1">
      <alignment horizontal="center" vertical="center" wrapText="1"/>
    </xf>
    <xf numFmtId="0" fontId="28" fillId="0" borderId="0" xfId="23" applyFont="1" applyFill="1" applyBorder="1" applyAlignment="1">
      <alignment horizontal="center" vertical="center"/>
    </xf>
    <xf numFmtId="0" fontId="4" fillId="5" borderId="1" xfId="23" applyFont="1" applyFill="1" applyBorder="1" applyAlignment="1">
      <alignment horizontal="center" vertical="center" wrapText="1"/>
    </xf>
    <xf numFmtId="0" fontId="9" fillId="5" borderId="4" xfId="23" applyFont="1" applyFill="1" applyBorder="1" applyAlignment="1">
      <alignment horizontal="center" vertical="center" wrapText="1"/>
    </xf>
    <xf numFmtId="0" fontId="4" fillId="6" borderId="2" xfId="23" applyFont="1" applyFill="1" applyBorder="1" applyAlignment="1">
      <alignment horizontal="center" vertical="center" wrapText="1"/>
    </xf>
    <xf numFmtId="0" fontId="4" fillId="5" borderId="2" xfId="23" applyFont="1" applyFill="1" applyBorder="1" applyAlignment="1">
      <alignment horizontal="center" vertical="center" wrapText="1"/>
    </xf>
    <xf numFmtId="0" fontId="4" fillId="5" borderId="5" xfId="23" applyFont="1" applyFill="1" applyBorder="1" applyAlignment="1">
      <alignment horizontal="center" vertical="center" wrapText="1"/>
    </xf>
    <xf numFmtId="0" fontId="4" fillId="5" borderId="3" xfId="23" applyFont="1" applyFill="1" applyBorder="1" applyAlignment="1">
      <alignment horizontal="center" vertical="center" wrapText="1"/>
    </xf>
    <xf numFmtId="0" fontId="4" fillId="5" borderId="7" xfId="23" applyFont="1" applyFill="1" applyBorder="1" applyAlignment="1">
      <alignment horizontal="center" vertical="center" wrapText="1"/>
    </xf>
    <xf numFmtId="0" fontId="3" fillId="0" borderId="0" xfId="23" applyFont="1" applyFill="1" applyBorder="1" applyAlignment="1">
      <alignment horizontal="left" wrapText="1"/>
    </xf>
    <xf numFmtId="10" fontId="11" fillId="0" borderId="5" xfId="13" applyNumberFormat="1" applyFont="1" applyFill="1" applyBorder="1" applyAlignment="1">
      <alignment horizontal="right"/>
    </xf>
    <xf numFmtId="10" fontId="11" fillId="0" borderId="61" xfId="13" applyNumberFormat="1" applyFont="1" applyFill="1" applyBorder="1" applyAlignment="1">
      <alignment horizontal="right"/>
    </xf>
    <xf numFmtId="0" fontId="9" fillId="0" borderId="60" xfId="23" applyFont="1" applyFill="1" applyBorder="1" applyAlignment="1">
      <alignment horizontal="left"/>
    </xf>
    <xf numFmtId="0" fontId="9" fillId="0" borderId="10" xfId="23" applyFont="1" applyFill="1" applyBorder="1" applyAlignment="1">
      <alignment horizontal="left"/>
    </xf>
    <xf numFmtId="0" fontId="10" fillId="0" borderId="0" xfId="23" applyFont="1" applyFill="1" applyBorder="1" applyAlignment="1">
      <alignment horizontal="center" wrapText="1"/>
    </xf>
    <xf numFmtId="0" fontId="10" fillId="0" borderId="27" xfId="23" applyFont="1" applyFill="1" applyBorder="1" applyAlignment="1">
      <alignment horizontal="center" wrapText="1"/>
    </xf>
    <xf numFmtId="0" fontId="10" fillId="5" borderId="50" xfId="23" applyFont="1" applyFill="1" applyBorder="1" applyAlignment="1">
      <alignment horizontal="center" vertical="center" wrapText="1"/>
    </xf>
    <xf numFmtId="0" fontId="10" fillId="5" borderId="57" xfId="23" applyFont="1" applyFill="1" applyBorder="1" applyAlignment="1">
      <alignment horizontal="center" vertical="center" wrapText="1"/>
    </xf>
    <xf numFmtId="0" fontId="10" fillId="5" borderId="51" xfId="23" applyFont="1" applyFill="1" applyBorder="1" applyAlignment="1">
      <alignment horizontal="center" vertical="center" wrapText="1"/>
    </xf>
    <xf numFmtId="0" fontId="10" fillId="5" borderId="6" xfId="23" applyFont="1" applyFill="1" applyBorder="1" applyAlignment="1">
      <alignment horizontal="center" vertical="center" wrapText="1"/>
    </xf>
    <xf numFmtId="0" fontId="10" fillId="5" borderId="52" xfId="23" applyFont="1" applyFill="1" applyBorder="1" applyAlignment="1">
      <alignment horizontal="center" vertical="center" wrapText="1"/>
    </xf>
    <xf numFmtId="0" fontId="10" fillId="5" borderId="53" xfId="23" applyFont="1" applyFill="1" applyBorder="1" applyAlignment="1">
      <alignment horizontal="center" vertical="center" wrapText="1"/>
    </xf>
    <xf numFmtId="0" fontId="10" fillId="5" borderId="54" xfId="23" applyFont="1" applyFill="1" applyBorder="1" applyAlignment="1">
      <alignment horizontal="center" vertical="center" wrapText="1"/>
    </xf>
    <xf numFmtId="0" fontId="10" fillId="5" borderId="55" xfId="23" applyFont="1" applyFill="1" applyBorder="1" applyAlignment="1">
      <alignment horizontal="center" vertical="center" wrapText="1"/>
    </xf>
    <xf numFmtId="0" fontId="10" fillId="5" borderId="59" xfId="23" applyFont="1" applyFill="1" applyBorder="1" applyAlignment="1">
      <alignment horizontal="center" vertical="center" wrapText="1"/>
    </xf>
    <xf numFmtId="0" fontId="10" fillId="5" borderId="15" xfId="23" applyFont="1" applyFill="1" applyBorder="1" applyAlignment="1">
      <alignment horizontal="center" vertical="center" wrapText="1"/>
    </xf>
    <xf numFmtId="0" fontId="10" fillId="5" borderId="16" xfId="23" applyFont="1" applyFill="1" applyBorder="1" applyAlignment="1">
      <alignment horizontal="center" vertical="center" wrapText="1"/>
    </xf>
    <xf numFmtId="0" fontId="10" fillId="5" borderId="56" xfId="23" applyFont="1" applyFill="1" applyBorder="1" applyAlignment="1">
      <alignment horizontal="center" vertical="center" wrapText="1"/>
    </xf>
    <xf numFmtId="0" fontId="10" fillId="5" borderId="9" xfId="23" applyFont="1" applyFill="1" applyBorder="1" applyAlignment="1">
      <alignment horizontal="center" vertical="center" wrapText="1"/>
    </xf>
    <xf numFmtId="0" fontId="10" fillId="0" borderId="50" xfId="23" applyFont="1" applyFill="1" applyBorder="1" applyAlignment="1">
      <alignment horizontal="center"/>
    </xf>
    <xf numFmtId="0" fontId="10" fillId="0" borderId="51" xfId="23" applyFont="1" applyFill="1" applyBorder="1" applyAlignment="1">
      <alignment horizontal="center"/>
    </xf>
    <xf numFmtId="0" fontId="10" fillId="0" borderId="52" xfId="23" applyFont="1" applyFill="1" applyBorder="1" applyAlignment="1">
      <alignment horizontal="center"/>
    </xf>
    <xf numFmtId="0" fontId="9" fillId="0" borderId="60" xfId="23" applyFont="1" applyFill="1" applyBorder="1" applyAlignment="1">
      <alignment horizontal="center"/>
    </xf>
    <xf numFmtId="0" fontId="9" fillId="0" borderId="43" xfId="23" applyFont="1" applyFill="1" applyBorder="1" applyAlignment="1">
      <alignment horizontal="center"/>
    </xf>
    <xf numFmtId="0" fontId="9" fillId="0" borderId="10" xfId="23" applyFont="1" applyFill="1" applyBorder="1" applyAlignment="1">
      <alignment horizontal="center"/>
    </xf>
    <xf numFmtId="0" fontId="10" fillId="0" borderId="26" xfId="23" applyFont="1" applyFill="1" applyBorder="1" applyAlignment="1">
      <alignment horizontal="center" vertical="center" wrapText="1"/>
    </xf>
    <xf numFmtId="0" fontId="10" fillId="0" borderId="0" xfId="23" applyFont="1" applyFill="1" applyBorder="1" applyAlignment="1">
      <alignment horizontal="center" vertical="center" wrapText="1"/>
    </xf>
    <xf numFmtId="0" fontId="10" fillId="0" borderId="57" xfId="23" applyFont="1" applyFill="1" applyBorder="1" applyAlignment="1">
      <alignment horizontal="left"/>
    </xf>
    <xf numFmtId="0" fontId="10" fillId="0" borderId="6" xfId="23" applyFont="1" applyFill="1" applyBorder="1" applyAlignment="1">
      <alignment horizontal="left"/>
    </xf>
    <xf numFmtId="10" fontId="10" fillId="0" borderId="6" xfId="13" applyNumberFormat="1" applyFont="1" applyFill="1" applyBorder="1" applyAlignment="1">
      <alignment horizontal="center"/>
    </xf>
    <xf numFmtId="10" fontId="10" fillId="0" borderId="58" xfId="13" applyNumberFormat="1" applyFont="1" applyFill="1" applyBorder="1" applyAlignment="1">
      <alignment horizontal="center"/>
    </xf>
    <xf numFmtId="0" fontId="9" fillId="0" borderId="63" xfId="23" applyFont="1" applyFill="1" applyBorder="1" applyAlignment="1">
      <alignment horizontal="left"/>
    </xf>
    <xf numFmtId="0" fontId="9" fillId="0" borderId="12" xfId="23" applyFont="1" applyFill="1" applyBorder="1" applyAlignment="1">
      <alignment horizontal="left"/>
    </xf>
    <xf numFmtId="10" fontId="11" fillId="0" borderId="5" xfId="3" applyNumberFormat="1" applyFont="1" applyFill="1" applyBorder="1" applyAlignment="1">
      <alignment horizontal="right"/>
    </xf>
    <xf numFmtId="10" fontId="11" fillId="0" borderId="61" xfId="3" applyNumberFormat="1" applyFont="1" applyFill="1" applyBorder="1" applyAlignment="1">
      <alignment horizontal="right"/>
    </xf>
    <xf numFmtId="0" fontId="10" fillId="0" borderId="68" xfId="23" applyFont="1" applyFill="1" applyBorder="1" applyAlignment="1">
      <alignment horizontal="left"/>
    </xf>
    <xf numFmtId="0" fontId="10" fillId="0" borderId="69" xfId="23" applyFont="1" applyFill="1" applyBorder="1" applyAlignment="1">
      <alignment horizontal="left"/>
    </xf>
    <xf numFmtId="10" fontId="10" fillId="0" borderId="69" xfId="13" applyNumberFormat="1" applyFont="1" applyFill="1" applyBorder="1" applyAlignment="1">
      <alignment horizontal="right"/>
    </xf>
    <xf numFmtId="10" fontId="10" fillId="0" borderId="70" xfId="13" applyNumberFormat="1" applyFont="1" applyFill="1" applyBorder="1" applyAlignment="1">
      <alignment horizontal="right"/>
    </xf>
    <xf numFmtId="0" fontId="10" fillId="0" borderId="66" xfId="23" applyFont="1" applyFill="1" applyBorder="1" applyAlignment="1">
      <alignment horizontal="left" wrapText="1"/>
    </xf>
    <xf numFmtId="0" fontId="10" fillId="0" borderId="67" xfId="23" applyFont="1" applyFill="1" applyBorder="1" applyAlignment="1">
      <alignment horizontal="left" wrapText="1"/>
    </xf>
    <xf numFmtId="0" fontId="10" fillId="0" borderId="71" xfId="23" applyFont="1" applyFill="1" applyBorder="1" applyAlignment="1">
      <alignment horizontal="left" wrapText="1"/>
    </xf>
  </cellXfs>
  <cellStyles count="27">
    <cellStyle name="Moeda" xfId="21" builtinId="4"/>
    <cellStyle name="Moeda 2" xfId="4"/>
    <cellStyle name="Moeda 2 2" xfId="10"/>
    <cellStyle name="Moeda 3" xfId="11"/>
    <cellStyle name="Moeda 4" xfId="9"/>
    <cellStyle name="Normal" xfId="0" builtinId="0"/>
    <cellStyle name="Normal 2" xfId="2"/>
    <cellStyle name="Normal 2 2" xfId="23"/>
    <cellStyle name="Normal 3" xfId="8"/>
    <cellStyle name="Normal 3 2" xfId="20"/>
    <cellStyle name="Normal 3 3" xfId="26"/>
    <cellStyle name="Normal 4" xfId="25"/>
    <cellStyle name="Porcentagem" xfId="22" builtinId="5"/>
    <cellStyle name="Porcentagem 2" xfId="3"/>
    <cellStyle name="Porcentagem 2 2" xfId="6"/>
    <cellStyle name="Porcentagem 2 2 2" xfId="13"/>
    <cellStyle name="Porcentagem 3" xfId="14"/>
    <cellStyle name="Porcentagem 4" xfId="5"/>
    <cellStyle name="Porcentagem 4 3" xfId="24"/>
    <cellStyle name="Porcentagem 5" xfId="12"/>
    <cellStyle name="Vírgula" xfId="1" builtinId="3"/>
    <cellStyle name="Vírgula 2" xfId="16"/>
    <cellStyle name="Vírgula 2 2" xfId="7"/>
    <cellStyle name="Vírgula 2 2 2" xfId="17"/>
    <cellStyle name="Vírgula 2 2 3" xfId="19"/>
    <cellStyle name="Vírgula 3" xfId="18"/>
    <cellStyle name="Vírgula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2075" y="279971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2732617</xdr:colOff>
      <xdr:row>14</xdr:row>
      <xdr:rowOff>110067</xdr:rowOff>
    </xdr:from>
    <xdr:ext cx="2369343" cy="766763"/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0200" y="2745317"/>
          <a:ext cx="2369343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ECT/PLANILHAS/2016/SEI%20709_2016_Manut_Ar_Condicionado/bkp/MINUTA_SEI_709_2016_Ar_Condicion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ão Cumulativa "/>
      <sheetName val="Cumulativa"/>
      <sheetName val="BDI"/>
      <sheetName val="Ferramentas individuais"/>
      <sheetName val="Encargos_Sociais"/>
      <sheetName val="EPI"/>
      <sheetName val="Ferramentas de uso comum"/>
      <sheetName val="Material de consumo"/>
      <sheetName val="Uniforme"/>
    </sheetNames>
    <sheetDataSet>
      <sheetData sheetId="0"/>
      <sheetData sheetId="1">
        <row r="7">
          <cell r="N7">
            <v>0.34689999999999999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W40"/>
  <sheetViews>
    <sheetView tabSelected="1" topLeftCell="A2" zoomScale="80" zoomScaleNormal="80" zoomScaleSheetLayoutView="70" zoomScalePageLayoutView="55" workbookViewId="0">
      <selection activeCell="A3" sqref="A3:A7"/>
    </sheetView>
  </sheetViews>
  <sheetFormatPr defaultRowHeight="15" x14ac:dyDescent="0.25"/>
  <cols>
    <col min="1" max="1" width="24.140625" style="10" customWidth="1"/>
    <col min="2" max="2" width="13.140625" style="10" customWidth="1"/>
    <col min="3" max="3" width="15.42578125" style="10" customWidth="1"/>
    <col min="4" max="4" width="16.85546875" style="10" customWidth="1"/>
    <col min="5" max="5" width="14" style="10" customWidth="1"/>
    <col min="6" max="6" width="19.140625" style="10" customWidth="1"/>
    <col min="7" max="7" width="16.7109375" style="10" customWidth="1"/>
    <col min="8" max="8" width="11.7109375" style="10" customWidth="1"/>
    <col min="9" max="9" width="15.28515625" style="10" customWidth="1"/>
    <col min="10" max="10" width="11.7109375" style="10" customWidth="1"/>
    <col min="11" max="11" width="15.7109375" style="10" customWidth="1"/>
    <col min="12" max="12" width="15.85546875" style="10" customWidth="1"/>
    <col min="13" max="13" width="16.140625" style="10" customWidth="1"/>
    <col min="14" max="14" width="14.85546875" style="10" customWidth="1"/>
    <col min="15" max="15" width="14.7109375" style="10" customWidth="1"/>
    <col min="16" max="16" width="17.42578125" style="10" customWidth="1"/>
    <col min="17" max="17" width="14.140625" style="10" customWidth="1"/>
    <col min="18" max="18" width="14.85546875" style="10" customWidth="1"/>
    <col min="19" max="19" width="15.7109375" style="10" customWidth="1"/>
    <col min="20" max="20" width="16.5703125" style="10" customWidth="1"/>
    <col min="21" max="21" width="19.85546875" style="10" customWidth="1"/>
    <col min="22" max="22" width="21.5703125" style="10" customWidth="1"/>
    <col min="23" max="23" width="25.140625" style="10" customWidth="1"/>
    <col min="24" max="24" width="9.140625" style="10"/>
    <col min="25" max="25" width="14.28515625" style="10" bestFit="1" customWidth="1"/>
    <col min="26" max="26" width="11.42578125" style="10" bestFit="1" customWidth="1"/>
    <col min="27" max="16384" width="9.140625" style="10"/>
  </cols>
  <sheetData>
    <row r="1" spans="1:23" ht="183.75" customHeight="1" x14ac:dyDescent="0.25">
      <c r="T1" s="347"/>
      <c r="U1" s="347"/>
      <c r="V1" s="347"/>
      <c r="W1" s="347"/>
    </row>
    <row r="2" spans="1:23" s="6" customFormat="1" ht="33.75" customHeight="1" thickBot="1" x14ac:dyDescent="0.25">
      <c r="A2" s="326" t="s">
        <v>238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166"/>
      <c r="W2" s="166"/>
    </row>
    <row r="3" spans="1:23" s="6" customFormat="1" ht="26.25" customHeight="1" thickTop="1" x14ac:dyDescent="0.2">
      <c r="A3" s="348" t="s">
        <v>0</v>
      </c>
      <c r="B3" s="350" t="s">
        <v>47</v>
      </c>
      <c r="C3" s="351"/>
      <c r="D3" s="358" t="s">
        <v>168</v>
      </c>
      <c r="E3" s="330" t="s">
        <v>1</v>
      </c>
      <c r="F3" s="330"/>
      <c r="G3" s="330"/>
      <c r="H3" s="330"/>
      <c r="I3" s="330"/>
      <c r="J3" s="330"/>
      <c r="K3" s="330"/>
      <c r="L3" s="330" t="s">
        <v>2</v>
      </c>
      <c r="M3" s="330"/>
      <c r="N3" s="330"/>
      <c r="O3" s="330" t="s">
        <v>228</v>
      </c>
      <c r="P3" s="330" t="s">
        <v>227</v>
      </c>
      <c r="Q3" s="330" t="s">
        <v>226</v>
      </c>
      <c r="R3" s="372" t="s">
        <v>225</v>
      </c>
      <c r="S3" s="330" t="s">
        <v>224</v>
      </c>
      <c r="T3" s="330" t="s">
        <v>223</v>
      </c>
      <c r="U3" s="356" t="s">
        <v>222</v>
      </c>
    </row>
    <row r="4" spans="1:23" s="6" customFormat="1" ht="42.75" customHeight="1" x14ac:dyDescent="0.2">
      <c r="A4" s="349"/>
      <c r="B4" s="352"/>
      <c r="C4" s="353"/>
      <c r="D4" s="333"/>
      <c r="E4" s="331" t="s">
        <v>220</v>
      </c>
      <c r="F4" s="332" t="s">
        <v>221</v>
      </c>
      <c r="G4" s="332" t="s">
        <v>236</v>
      </c>
      <c r="H4" s="332" t="s">
        <v>235</v>
      </c>
      <c r="I4" s="331" t="s">
        <v>234</v>
      </c>
      <c r="J4" s="331" t="s">
        <v>233</v>
      </c>
      <c r="K4" s="331" t="s">
        <v>232</v>
      </c>
      <c r="L4" s="332" t="s">
        <v>231</v>
      </c>
      <c r="M4" s="331" t="s">
        <v>230</v>
      </c>
      <c r="N4" s="331" t="s">
        <v>229</v>
      </c>
      <c r="O4" s="331"/>
      <c r="P4" s="331"/>
      <c r="Q4" s="331"/>
      <c r="R4" s="373"/>
      <c r="S4" s="331"/>
      <c r="T4" s="331" t="s">
        <v>5</v>
      </c>
      <c r="U4" s="357" t="s">
        <v>6</v>
      </c>
    </row>
    <row r="5" spans="1:23" s="6" customFormat="1" ht="47.25" customHeight="1" x14ac:dyDescent="0.2">
      <c r="A5" s="349"/>
      <c r="B5" s="352"/>
      <c r="C5" s="353"/>
      <c r="D5" s="333"/>
      <c r="E5" s="331"/>
      <c r="F5" s="334"/>
      <c r="G5" s="333"/>
      <c r="H5" s="333"/>
      <c r="I5" s="331"/>
      <c r="J5" s="331"/>
      <c r="K5" s="331"/>
      <c r="L5" s="333"/>
      <c r="M5" s="331"/>
      <c r="N5" s="331"/>
      <c r="O5" s="331"/>
      <c r="P5" s="331"/>
      <c r="Q5" s="331"/>
      <c r="R5" s="373"/>
      <c r="S5" s="331"/>
      <c r="T5" s="331"/>
      <c r="U5" s="357"/>
    </row>
    <row r="6" spans="1:23" s="6" customFormat="1" ht="20.25" customHeight="1" x14ac:dyDescent="0.2">
      <c r="A6" s="349"/>
      <c r="B6" s="352"/>
      <c r="C6" s="353"/>
      <c r="D6" s="333"/>
      <c r="E6" s="331"/>
      <c r="F6" s="257">
        <v>2450.39</v>
      </c>
      <c r="G6" s="334"/>
      <c r="H6" s="334"/>
      <c r="I6" s="331"/>
      <c r="J6" s="331"/>
      <c r="K6" s="331"/>
      <c r="L6" s="333"/>
      <c r="M6" s="331"/>
      <c r="N6" s="331"/>
      <c r="O6" s="331"/>
      <c r="P6" s="331"/>
      <c r="Q6" s="331"/>
      <c r="R6" s="271">
        <v>12</v>
      </c>
      <c r="S6" s="331"/>
      <c r="T6" s="331"/>
      <c r="U6" s="357"/>
    </row>
    <row r="7" spans="1:23" s="6" customFormat="1" ht="18" customHeight="1" x14ac:dyDescent="0.2">
      <c r="A7" s="349"/>
      <c r="B7" s="354"/>
      <c r="C7" s="355"/>
      <c r="D7" s="333"/>
      <c r="E7" s="331"/>
      <c r="F7" s="258">
        <v>0.1</v>
      </c>
      <c r="G7" s="258">
        <v>0.3</v>
      </c>
      <c r="H7" s="258">
        <v>0.2</v>
      </c>
      <c r="I7" s="331"/>
      <c r="J7" s="256">
        <f>ROUNDUP('Encargos Sociais'!D36,4)</f>
        <v>0.71699999999999997</v>
      </c>
      <c r="K7" s="331"/>
      <c r="L7" s="334"/>
      <c r="M7" s="331"/>
      <c r="N7" s="331"/>
      <c r="O7" s="331"/>
      <c r="P7" s="270">
        <f>'Encargos Sociais'!J14</f>
        <v>0.22988505747126453</v>
      </c>
      <c r="Q7" s="331"/>
      <c r="R7" s="279" t="s">
        <v>138</v>
      </c>
      <c r="S7" s="331"/>
      <c r="T7" s="331"/>
      <c r="U7" s="357"/>
    </row>
    <row r="8" spans="1:23" s="6" customFormat="1" ht="38.25" customHeight="1" x14ac:dyDescent="0.2">
      <c r="A8" s="374" t="s">
        <v>76</v>
      </c>
      <c r="B8" s="376" t="s">
        <v>57</v>
      </c>
      <c r="C8" s="280" t="s">
        <v>196</v>
      </c>
      <c r="D8" s="344" t="s">
        <v>169</v>
      </c>
      <c r="E8" s="44">
        <f t="shared" ref="E8:E14" si="0">4277.83</f>
        <v>4277.83</v>
      </c>
      <c r="F8" s="44">
        <f t="shared" ref="F8:F14" si="1">ROUNDUP($F$6*$F$7,2)</f>
        <v>245.04</v>
      </c>
      <c r="G8" s="44">
        <f>ROUNDDOWN(((E8+F8)*$G$7),2)</f>
        <v>1356.86</v>
      </c>
      <c r="H8" s="44" t="s">
        <v>199</v>
      </c>
      <c r="I8" s="44">
        <f t="shared" ref="I8:I14" si="2">SUM(E8:H8)</f>
        <v>5879.73</v>
      </c>
      <c r="J8" s="8">
        <f>ROUNDDOWN(I8*$J$7,2)</f>
        <v>4215.76</v>
      </c>
      <c r="K8" s="9">
        <f t="shared" ref="K8:K14" si="3">SUM(I8:J8)</f>
        <v>10095.49</v>
      </c>
      <c r="L8" s="12">
        <f>'HORAS,VT,Vl'!P6</f>
        <v>633.62389999999994</v>
      </c>
      <c r="M8" s="44" t="s">
        <v>199</v>
      </c>
      <c r="N8" s="7">
        <f t="shared" ref="N8:N14" si="4">SUM(L8:M8)</f>
        <v>633.62389999999994</v>
      </c>
      <c r="O8" s="7">
        <f t="shared" ref="O8:O14" si="5">K8+N8</f>
        <v>10729.1139</v>
      </c>
      <c r="P8" s="7">
        <f t="shared" ref="P8:P14" si="6">O8*$P$7</f>
        <v>2466.462965517243</v>
      </c>
      <c r="Q8" s="7">
        <f>SUM(O8:P8)</f>
        <v>13195.576865517243</v>
      </c>
      <c r="R8" s="7">
        <f t="shared" ref="R8:R14" si="7">Q8*12</f>
        <v>158346.92238620692</v>
      </c>
      <c r="S8" s="63">
        <v>12</v>
      </c>
      <c r="T8" s="7">
        <f>Q8*S8</f>
        <v>158346.92238620692</v>
      </c>
      <c r="U8" s="14">
        <f>T8*$R$6</f>
        <v>1900163.068634483</v>
      </c>
    </row>
    <row r="9" spans="1:23" s="6" customFormat="1" ht="38.25" customHeight="1" x14ac:dyDescent="0.2">
      <c r="A9" s="374"/>
      <c r="B9" s="376"/>
      <c r="C9" s="280" t="s">
        <v>197</v>
      </c>
      <c r="D9" s="345"/>
      <c r="E9" s="44">
        <f t="shared" si="0"/>
        <v>4277.83</v>
      </c>
      <c r="F9" s="44">
        <f t="shared" si="1"/>
        <v>245.04</v>
      </c>
      <c r="G9" s="44">
        <f t="shared" ref="G9:G14" si="8">ROUNDDOWN(((E9+F9)*$G$7),2)</f>
        <v>1356.86</v>
      </c>
      <c r="H9" s="44">
        <f>'HORAS,VT,Vl'!R14</f>
        <v>641.42509090909084</v>
      </c>
      <c r="I9" s="44">
        <f t="shared" si="2"/>
        <v>6521.1550909090902</v>
      </c>
      <c r="J9" s="8">
        <f t="shared" ref="J9:J14" si="9">ROUNDDOWN(I9*$J$7,2)</f>
        <v>4675.66</v>
      </c>
      <c r="K9" s="9">
        <f t="shared" si="3"/>
        <v>11196.815090909091</v>
      </c>
      <c r="L9" s="12">
        <f>'HORAS,VT,Vl'!P6</f>
        <v>633.62389999999994</v>
      </c>
      <c r="M9" s="44" t="s">
        <v>199</v>
      </c>
      <c r="N9" s="7">
        <f t="shared" si="4"/>
        <v>633.62389999999994</v>
      </c>
      <c r="O9" s="7">
        <f t="shared" si="5"/>
        <v>11830.438990909091</v>
      </c>
      <c r="P9" s="7">
        <f t="shared" si="6"/>
        <v>2719.6411473354251</v>
      </c>
      <c r="Q9" s="7">
        <f t="shared" ref="Q9:Q14" si="10">SUM(O9:P9)</f>
        <v>14550.080138244517</v>
      </c>
      <c r="R9" s="7">
        <f t="shared" si="7"/>
        <v>174600.96165893419</v>
      </c>
      <c r="S9" s="63">
        <v>2</v>
      </c>
      <c r="T9" s="7">
        <f t="shared" ref="T9:T14" si="11">Q9*S9</f>
        <v>29100.160276489034</v>
      </c>
      <c r="U9" s="14">
        <f t="shared" ref="U9:U14" si="12">T9*$R$6</f>
        <v>349201.92331786838</v>
      </c>
      <c r="W9" s="11"/>
    </row>
    <row r="10" spans="1:23" s="6" customFormat="1" ht="38.25" customHeight="1" x14ac:dyDescent="0.2">
      <c r="A10" s="374"/>
      <c r="B10" s="376" t="s">
        <v>55</v>
      </c>
      <c r="C10" s="280" t="s">
        <v>198</v>
      </c>
      <c r="D10" s="345"/>
      <c r="E10" s="44">
        <f t="shared" si="0"/>
        <v>4277.83</v>
      </c>
      <c r="F10" s="44">
        <f t="shared" si="1"/>
        <v>245.04</v>
      </c>
      <c r="G10" s="44">
        <f t="shared" si="8"/>
        <v>1356.86</v>
      </c>
      <c r="H10" s="44" t="s">
        <v>199</v>
      </c>
      <c r="I10" s="44">
        <f t="shared" si="2"/>
        <v>5879.73</v>
      </c>
      <c r="J10" s="8">
        <f t="shared" si="9"/>
        <v>4215.76</v>
      </c>
      <c r="K10" s="9">
        <f t="shared" si="3"/>
        <v>10095.49</v>
      </c>
      <c r="L10" s="12">
        <f>'HORAS,VT,Vl'!$P$7</f>
        <v>856.43670000000009</v>
      </c>
      <c r="M10" s="44" t="s">
        <v>199</v>
      </c>
      <c r="N10" s="7">
        <f t="shared" si="4"/>
        <v>856.43670000000009</v>
      </c>
      <c r="O10" s="7">
        <f t="shared" si="5"/>
        <v>10951.9267</v>
      </c>
      <c r="P10" s="7">
        <f t="shared" si="6"/>
        <v>2517.6842988505764</v>
      </c>
      <c r="Q10" s="7">
        <f t="shared" si="10"/>
        <v>13469.610998850576</v>
      </c>
      <c r="R10" s="7">
        <f t="shared" si="7"/>
        <v>161635.3319862069</v>
      </c>
      <c r="S10" s="63">
        <v>16</v>
      </c>
      <c r="T10" s="7">
        <f t="shared" si="11"/>
        <v>215513.77598160921</v>
      </c>
      <c r="U10" s="14">
        <f t="shared" si="12"/>
        <v>2586165.3117793105</v>
      </c>
      <c r="W10" s="11"/>
    </row>
    <row r="11" spans="1:23" s="6" customFormat="1" ht="38.25" customHeight="1" x14ac:dyDescent="0.2">
      <c r="A11" s="374"/>
      <c r="B11" s="376"/>
      <c r="C11" s="63" t="s">
        <v>66</v>
      </c>
      <c r="D11" s="345"/>
      <c r="E11" s="44">
        <f t="shared" si="0"/>
        <v>4277.83</v>
      </c>
      <c r="F11" s="44">
        <f t="shared" si="1"/>
        <v>245.04</v>
      </c>
      <c r="G11" s="44">
        <f t="shared" si="8"/>
        <v>1356.86</v>
      </c>
      <c r="H11" s="44">
        <f>'HORAS,VT,Vl'!R15</f>
        <v>134.39382857142854</v>
      </c>
      <c r="I11" s="44">
        <f t="shared" si="2"/>
        <v>6014.123828571428</v>
      </c>
      <c r="J11" s="8">
        <f t="shared" si="9"/>
        <v>4312.12</v>
      </c>
      <c r="K11" s="9">
        <f t="shared" si="3"/>
        <v>10326.243828571427</v>
      </c>
      <c r="L11" s="12">
        <f>'HORAS,VT,Vl'!$P$7</f>
        <v>856.43670000000009</v>
      </c>
      <c r="M11" s="44" t="s">
        <v>199</v>
      </c>
      <c r="N11" s="7">
        <f t="shared" si="4"/>
        <v>856.43670000000009</v>
      </c>
      <c r="O11" s="7">
        <f t="shared" si="5"/>
        <v>11182.680528571427</v>
      </c>
      <c r="P11" s="7">
        <f t="shared" si="6"/>
        <v>2570.7311559934333</v>
      </c>
      <c r="Q11" s="7">
        <f t="shared" si="10"/>
        <v>13753.41168456486</v>
      </c>
      <c r="R11" s="7">
        <f t="shared" si="7"/>
        <v>165040.94021477833</v>
      </c>
      <c r="S11" s="63">
        <v>1</v>
      </c>
      <c r="T11" s="7">
        <f t="shared" si="11"/>
        <v>13753.41168456486</v>
      </c>
      <c r="U11" s="14">
        <f t="shared" si="12"/>
        <v>165040.94021477833</v>
      </c>
    </row>
    <row r="12" spans="1:23" s="6" customFormat="1" ht="38.25" customHeight="1" x14ac:dyDescent="0.2">
      <c r="A12" s="375"/>
      <c r="B12" s="344"/>
      <c r="C12" s="280" t="s">
        <v>58</v>
      </c>
      <c r="D12" s="345"/>
      <c r="E12" s="44">
        <f t="shared" si="0"/>
        <v>4277.83</v>
      </c>
      <c r="F12" s="44">
        <f t="shared" si="1"/>
        <v>245.04</v>
      </c>
      <c r="G12" s="44">
        <f t="shared" si="8"/>
        <v>1356.86</v>
      </c>
      <c r="H12" s="44">
        <f>'HORAS,VT,Vl'!R16</f>
        <v>403.18148571428566</v>
      </c>
      <c r="I12" s="44">
        <f t="shared" si="2"/>
        <v>6282.9114857142849</v>
      </c>
      <c r="J12" s="8">
        <f t="shared" si="9"/>
        <v>4504.84</v>
      </c>
      <c r="K12" s="9">
        <f t="shared" si="3"/>
        <v>10787.751485714285</v>
      </c>
      <c r="L12" s="12">
        <f>'HORAS,VT,Vl'!$P$7</f>
        <v>856.43670000000009</v>
      </c>
      <c r="M12" s="44" t="s">
        <v>199</v>
      </c>
      <c r="N12" s="7">
        <f t="shared" si="4"/>
        <v>856.43670000000009</v>
      </c>
      <c r="O12" s="7">
        <f t="shared" si="5"/>
        <v>11644.188185714285</v>
      </c>
      <c r="P12" s="7">
        <f t="shared" si="6"/>
        <v>2676.8248702791479</v>
      </c>
      <c r="Q12" s="7">
        <f t="shared" si="10"/>
        <v>14321.013055993433</v>
      </c>
      <c r="R12" s="7">
        <f t="shared" si="7"/>
        <v>171852.1566719212</v>
      </c>
      <c r="S12" s="60">
        <v>4</v>
      </c>
      <c r="T12" s="7">
        <f t="shared" si="11"/>
        <v>57284.052223973733</v>
      </c>
      <c r="U12" s="14">
        <f t="shared" si="12"/>
        <v>687408.62668768479</v>
      </c>
    </row>
    <row r="13" spans="1:23" s="6" customFormat="1" ht="38.25" customHeight="1" x14ac:dyDescent="0.2">
      <c r="A13" s="375"/>
      <c r="B13" s="344"/>
      <c r="C13" s="63" t="s">
        <v>59</v>
      </c>
      <c r="D13" s="345"/>
      <c r="E13" s="44">
        <f t="shared" si="0"/>
        <v>4277.83</v>
      </c>
      <c r="F13" s="44">
        <f t="shared" si="1"/>
        <v>245.04</v>
      </c>
      <c r="G13" s="44">
        <f t="shared" si="8"/>
        <v>1356.86</v>
      </c>
      <c r="H13" s="44">
        <f>'HORAS,VT,Vl'!R17</f>
        <v>940.75679999999988</v>
      </c>
      <c r="I13" s="44">
        <f t="shared" ref="I13" si="13">SUM(E13:H13)</f>
        <v>6820.4867999999997</v>
      </c>
      <c r="J13" s="8">
        <f t="shared" si="9"/>
        <v>4890.28</v>
      </c>
      <c r="K13" s="9">
        <f t="shared" ref="K13" si="14">SUM(I13:J13)</f>
        <v>11710.766799999999</v>
      </c>
      <c r="L13" s="12">
        <f>'HORAS,VT,Vl'!$P$7</f>
        <v>856.43670000000009</v>
      </c>
      <c r="M13" s="44" t="s">
        <v>199</v>
      </c>
      <c r="N13" s="31">
        <f t="shared" ref="N13" si="15">SUM(L13:M13)</f>
        <v>856.43670000000009</v>
      </c>
      <c r="O13" s="31">
        <f t="shared" ref="O13" si="16">K13+N13</f>
        <v>12567.2035</v>
      </c>
      <c r="P13" s="31">
        <f t="shared" ref="P13" si="17">O13*$P$7</f>
        <v>2889.0122988505768</v>
      </c>
      <c r="Q13" s="31">
        <f t="shared" ref="Q13" si="18">SUM(O13:P13)</f>
        <v>15456.215798850577</v>
      </c>
      <c r="R13" s="31">
        <f t="shared" ref="R13" si="19">Q13*12</f>
        <v>185474.58958620692</v>
      </c>
      <c r="S13" s="60">
        <v>6</v>
      </c>
      <c r="T13" s="31">
        <f t="shared" ref="T13" si="20">Q13*S13</f>
        <v>92737.294793103458</v>
      </c>
      <c r="U13" s="14">
        <f t="shared" ref="U13" si="21">T13*$R$6</f>
        <v>1112847.5375172414</v>
      </c>
    </row>
    <row r="14" spans="1:23" s="6" customFormat="1" ht="38.25" customHeight="1" thickBot="1" x14ac:dyDescent="0.25">
      <c r="A14" s="375"/>
      <c r="B14" s="344"/>
      <c r="C14" s="63" t="s">
        <v>159</v>
      </c>
      <c r="D14" s="346"/>
      <c r="E14" s="44">
        <f t="shared" si="0"/>
        <v>4277.83</v>
      </c>
      <c r="F14" s="44">
        <f t="shared" si="1"/>
        <v>245.04</v>
      </c>
      <c r="G14" s="44">
        <f t="shared" si="8"/>
        <v>1356.86</v>
      </c>
      <c r="H14" s="44">
        <f>'HORAS,VT,Vl'!R18</f>
        <v>940.75679999999988</v>
      </c>
      <c r="I14" s="44">
        <f t="shared" si="2"/>
        <v>6820.4867999999997</v>
      </c>
      <c r="J14" s="8">
        <f t="shared" si="9"/>
        <v>4890.28</v>
      </c>
      <c r="K14" s="9">
        <f t="shared" si="3"/>
        <v>11710.766799999999</v>
      </c>
      <c r="L14" s="12">
        <f>'HORAS,VT,Vl'!$P$7</f>
        <v>856.43670000000009</v>
      </c>
      <c r="M14" s="44" t="s">
        <v>199</v>
      </c>
      <c r="N14" s="31">
        <f t="shared" si="4"/>
        <v>856.43670000000009</v>
      </c>
      <c r="O14" s="31">
        <f t="shared" si="5"/>
        <v>12567.2035</v>
      </c>
      <c r="P14" s="31">
        <f t="shared" si="6"/>
        <v>2889.0122988505768</v>
      </c>
      <c r="Q14" s="31">
        <f t="shared" si="10"/>
        <v>15456.215798850577</v>
      </c>
      <c r="R14" s="31">
        <f t="shared" si="7"/>
        <v>185474.58958620692</v>
      </c>
      <c r="S14" s="60">
        <v>1</v>
      </c>
      <c r="T14" s="31">
        <f t="shared" si="11"/>
        <v>15456.215798850577</v>
      </c>
      <c r="U14" s="14">
        <f t="shared" si="12"/>
        <v>185474.58958620692</v>
      </c>
    </row>
    <row r="15" spans="1:23" s="6" customFormat="1" ht="31.5" customHeight="1" thickTop="1" thickBot="1" x14ac:dyDescent="0.25">
      <c r="A15" s="377" t="s">
        <v>7</v>
      </c>
      <c r="B15" s="378"/>
      <c r="C15" s="378"/>
      <c r="D15" s="378"/>
      <c r="E15" s="378"/>
      <c r="F15" s="378"/>
      <c r="G15" s="378"/>
      <c r="H15" s="378"/>
      <c r="I15" s="378"/>
      <c r="J15" s="378"/>
      <c r="K15" s="33">
        <f>SUM(K8:K14)</f>
        <v>75923.324005194794</v>
      </c>
      <c r="L15" s="379"/>
      <c r="M15" s="379"/>
      <c r="N15" s="34">
        <f>SUM(N8:N14)</f>
        <v>5549.4313000000002</v>
      </c>
      <c r="O15" s="61">
        <f>SUM(O8:O14)</f>
        <v>81472.755305194805</v>
      </c>
      <c r="P15" s="67"/>
      <c r="Q15" s="67"/>
      <c r="R15" s="67"/>
      <c r="S15" s="35">
        <f>SUM(S8:S14)</f>
        <v>42</v>
      </c>
      <c r="T15" s="34">
        <f>SUM(T8:T14)</f>
        <v>582191.83314479771</v>
      </c>
      <c r="U15" s="36">
        <f>SUM(U8:U14)</f>
        <v>6986301.9977375725</v>
      </c>
      <c r="W15" s="11"/>
    </row>
    <row r="16" spans="1:23" s="6" customFormat="1" ht="27" customHeight="1" thickTop="1" x14ac:dyDescent="0.2">
      <c r="A16" s="259" t="s">
        <v>237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1"/>
      <c r="L16" s="262"/>
      <c r="M16" s="262"/>
      <c r="N16" s="263"/>
      <c r="O16" s="264"/>
      <c r="P16" s="265"/>
      <c r="Q16" s="265"/>
      <c r="R16" s="266"/>
      <c r="S16" s="267"/>
      <c r="T16" s="269"/>
      <c r="U16" s="268"/>
      <c r="W16" s="11"/>
    </row>
    <row r="17" spans="1:23" s="6" customFormat="1" ht="21.75" customHeight="1" x14ac:dyDescent="0.2">
      <c r="A17" s="363" t="s">
        <v>216</v>
      </c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4"/>
      <c r="Q17" s="273" t="s">
        <v>203</v>
      </c>
      <c r="R17" s="123" t="s">
        <v>202</v>
      </c>
      <c r="S17" s="123" t="s">
        <v>52</v>
      </c>
      <c r="T17" s="123" t="s">
        <v>53</v>
      </c>
      <c r="U17" s="116" t="s">
        <v>139</v>
      </c>
    </row>
    <row r="18" spans="1:23" s="6" customFormat="1" ht="20.25" customHeight="1" x14ac:dyDescent="0.2">
      <c r="A18" s="361"/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62"/>
      <c r="P18" s="365"/>
      <c r="Q18" s="63">
        <v>20</v>
      </c>
      <c r="R18" s="63">
        <f>Q18*R6</f>
        <v>240</v>
      </c>
      <c r="S18" s="7">
        <v>589.4</v>
      </c>
      <c r="T18" s="7">
        <f>S18*Q18</f>
        <v>11788</v>
      </c>
      <c r="U18" s="14">
        <f>R18*S18</f>
        <v>141456</v>
      </c>
    </row>
    <row r="19" spans="1:23" s="6" customFormat="1" ht="22.5" customHeight="1" x14ac:dyDescent="0.2">
      <c r="A19" s="335" t="s">
        <v>215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7"/>
      <c r="R19" s="37" t="s">
        <v>51</v>
      </c>
      <c r="S19" s="37" t="s">
        <v>52</v>
      </c>
      <c r="T19" s="37" t="s">
        <v>53</v>
      </c>
      <c r="U19" s="116" t="s">
        <v>139</v>
      </c>
    </row>
    <row r="20" spans="1:23" s="6" customFormat="1" ht="24.75" customHeight="1" thickBot="1" x14ac:dyDescent="0.25">
      <c r="A20" s="341"/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3"/>
      <c r="R20" s="39">
        <f>S15</f>
        <v>42</v>
      </c>
      <c r="S20" s="31">
        <v>9.76</v>
      </c>
      <c r="T20" s="31">
        <f>R20*S20</f>
        <v>409.92</v>
      </c>
      <c r="U20" s="32">
        <f>T20*R6</f>
        <v>4919.04</v>
      </c>
    </row>
    <row r="21" spans="1:23" s="6" customFormat="1" ht="22.5" customHeight="1" thickTop="1" x14ac:dyDescent="0.2">
      <c r="A21" s="335" t="s">
        <v>214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7"/>
      <c r="R21" s="123" t="s">
        <v>51</v>
      </c>
      <c r="S21" s="123" t="s">
        <v>52</v>
      </c>
      <c r="T21" s="123" t="s">
        <v>53</v>
      </c>
      <c r="U21" s="116" t="s">
        <v>139</v>
      </c>
    </row>
    <row r="22" spans="1:23" s="6" customFormat="1" ht="26.25" customHeight="1" x14ac:dyDescent="0.2">
      <c r="A22" s="338"/>
      <c r="B22" s="339"/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339"/>
      <c r="N22" s="339"/>
      <c r="O22" s="339"/>
      <c r="P22" s="339"/>
      <c r="Q22" s="340"/>
      <c r="R22" s="63">
        <f>S15</f>
        <v>42</v>
      </c>
      <c r="S22" s="7">
        <v>151.9</v>
      </c>
      <c r="T22" s="7">
        <f>R22*S22</f>
        <v>6379.8</v>
      </c>
      <c r="U22" s="14">
        <f>T22*R6</f>
        <v>76557.600000000006</v>
      </c>
    </row>
    <row r="23" spans="1:23" s="6" customFormat="1" ht="22.5" customHeight="1" x14ac:dyDescent="0.2">
      <c r="A23" s="366" t="s">
        <v>217</v>
      </c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8"/>
      <c r="R23" s="123" t="s">
        <v>51</v>
      </c>
      <c r="S23" s="123" t="s">
        <v>52</v>
      </c>
      <c r="T23" s="123" t="s">
        <v>53</v>
      </c>
      <c r="U23" s="116" t="s">
        <v>139</v>
      </c>
    </row>
    <row r="24" spans="1:23" s="6" customFormat="1" ht="27" customHeight="1" x14ac:dyDescent="0.2">
      <c r="A24" s="369"/>
      <c r="B24" s="370"/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0"/>
      <c r="Q24" s="371"/>
      <c r="R24" s="13">
        <f>S15</f>
        <v>42</v>
      </c>
      <c r="S24" s="7">
        <v>15.19</v>
      </c>
      <c r="T24" s="7">
        <f>R24*S24</f>
        <v>637.98</v>
      </c>
      <c r="U24" s="14">
        <f>T24*R6</f>
        <v>7655.76</v>
      </c>
    </row>
    <row r="25" spans="1:23" s="6" customFormat="1" ht="22.5" customHeight="1" x14ac:dyDescent="0.2">
      <c r="A25" s="335" t="s">
        <v>218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7"/>
      <c r="R25" s="123" t="s">
        <v>51</v>
      </c>
      <c r="S25" s="123" t="s">
        <v>52</v>
      </c>
      <c r="T25" s="123" t="s">
        <v>53</v>
      </c>
      <c r="U25" s="116" t="s">
        <v>139</v>
      </c>
    </row>
    <row r="26" spans="1:23" s="6" customFormat="1" ht="27" customHeight="1" x14ac:dyDescent="0.2">
      <c r="A26" s="338"/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40"/>
      <c r="R26" s="13">
        <f>S15</f>
        <v>42</v>
      </c>
      <c r="S26" s="7">
        <v>18.510000000000002</v>
      </c>
      <c r="T26" s="7">
        <f>R26*S26</f>
        <v>777.42000000000007</v>
      </c>
      <c r="U26" s="14">
        <f>T26*R6</f>
        <v>9329.0400000000009</v>
      </c>
    </row>
    <row r="27" spans="1:23" s="6" customFormat="1" ht="22.5" customHeight="1" x14ac:dyDescent="0.2">
      <c r="A27" s="359" t="s">
        <v>219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272" t="s">
        <v>200</v>
      </c>
      <c r="Q27" s="272" t="s">
        <v>201</v>
      </c>
      <c r="R27" s="123" t="s">
        <v>51</v>
      </c>
      <c r="S27" s="123" t="s">
        <v>52</v>
      </c>
      <c r="T27" s="123" t="s">
        <v>53</v>
      </c>
      <c r="U27" s="116" t="s">
        <v>139</v>
      </c>
    </row>
    <row r="28" spans="1:23" s="6" customFormat="1" ht="27" customHeight="1" x14ac:dyDescent="0.2">
      <c r="A28" s="361"/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2"/>
      <c r="O28" s="362"/>
      <c r="P28" s="282">
        <f>'ANEXO A - Uniformes'!F18</f>
        <v>4708</v>
      </c>
      <c r="Q28" s="7">
        <f>'ANEXO A - Uniformes'!F35</f>
        <v>4688</v>
      </c>
      <c r="R28" s="13">
        <f>S15</f>
        <v>42</v>
      </c>
      <c r="S28" s="117">
        <f>P28/R6</f>
        <v>392.33333333333331</v>
      </c>
      <c r="T28" s="169">
        <f>S28*R28</f>
        <v>16478</v>
      </c>
      <c r="U28" s="14">
        <f>T28*R6</f>
        <v>197736</v>
      </c>
    </row>
    <row r="29" spans="1:23" s="6" customFormat="1" ht="22.5" customHeight="1" x14ac:dyDescent="0.2">
      <c r="A29" s="335" t="s">
        <v>240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7"/>
      <c r="R29" s="123" t="s">
        <v>51</v>
      </c>
      <c r="S29" s="123" t="s">
        <v>52</v>
      </c>
      <c r="T29" s="123" t="s">
        <v>53</v>
      </c>
      <c r="U29" s="116" t="s">
        <v>139</v>
      </c>
    </row>
    <row r="30" spans="1:23" s="6" customFormat="1" ht="27" customHeight="1" x14ac:dyDescent="0.2">
      <c r="A30" s="338"/>
      <c r="B30" s="339"/>
      <c r="C30" s="339"/>
      <c r="D30" s="339"/>
      <c r="E30" s="339"/>
      <c r="F30" s="339"/>
      <c r="G30" s="339"/>
      <c r="H30" s="339"/>
      <c r="I30" s="339"/>
      <c r="J30" s="339"/>
      <c r="K30" s="339"/>
      <c r="L30" s="339"/>
      <c r="M30" s="339"/>
      <c r="N30" s="339"/>
      <c r="O30" s="339"/>
      <c r="P30" s="339"/>
      <c r="Q30" s="340"/>
      <c r="R30" s="13">
        <f>S15</f>
        <v>42</v>
      </c>
      <c r="S30" s="7">
        <f>'ANEXO B - EPI'!F9</f>
        <v>497</v>
      </c>
      <c r="T30" s="7">
        <f>U30/R6</f>
        <v>1739.5</v>
      </c>
      <c r="U30" s="14">
        <f>S30*R30</f>
        <v>20874</v>
      </c>
      <c r="W30" s="11"/>
    </row>
    <row r="31" spans="1:23" s="6" customFormat="1" ht="22.5" customHeight="1" x14ac:dyDescent="0.2">
      <c r="A31" s="335" t="s">
        <v>241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123" t="s">
        <v>51</v>
      </c>
      <c r="S31" s="123" t="s">
        <v>52</v>
      </c>
      <c r="T31" s="123" t="s">
        <v>53</v>
      </c>
      <c r="U31" s="116" t="s">
        <v>139</v>
      </c>
    </row>
    <row r="32" spans="1:23" s="6" customFormat="1" ht="27" customHeight="1" thickBot="1" x14ac:dyDescent="0.25">
      <c r="A32" s="338"/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63" t="s">
        <v>54</v>
      </c>
      <c r="S32" s="63" t="s">
        <v>54</v>
      </c>
      <c r="T32" s="7">
        <f>U32/R6</f>
        <v>3599.7234999999996</v>
      </c>
      <c r="U32" s="14">
        <f>'ANEXO C - Equipamentos'!I15</f>
        <v>43196.681999999993</v>
      </c>
    </row>
    <row r="33" spans="1:23" ht="32.25" customHeight="1" thickTop="1" thickBot="1" x14ac:dyDescent="0.3">
      <c r="A33" s="327" t="s">
        <v>8</v>
      </c>
      <c r="B33" s="328"/>
      <c r="C33" s="328"/>
      <c r="D33" s="328"/>
      <c r="E33" s="328"/>
      <c r="F33" s="328"/>
      <c r="G33" s="328"/>
      <c r="H33" s="328"/>
      <c r="I33" s="328"/>
      <c r="J33" s="328"/>
      <c r="K33" s="328"/>
      <c r="L33" s="328"/>
      <c r="M33" s="328"/>
      <c r="N33" s="328"/>
      <c r="O33" s="328"/>
      <c r="P33" s="328"/>
      <c r="Q33" s="328"/>
      <c r="R33" s="328"/>
      <c r="S33" s="329"/>
      <c r="T33" s="40">
        <f>SUM(T17:T32)</f>
        <v>41810.343500000003</v>
      </c>
      <c r="U33" s="38">
        <f>SUM(U17:U32)</f>
        <v>501724.12200000003</v>
      </c>
      <c r="W33" s="53"/>
    </row>
    <row r="34" spans="1:23" ht="19.5" customHeight="1" thickTop="1" thickBot="1" x14ac:dyDescent="0.3">
      <c r="A34" s="325" t="s">
        <v>162</v>
      </c>
      <c r="B34" s="325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155" t="s">
        <v>53</v>
      </c>
      <c r="U34" s="118" t="s">
        <v>204</v>
      </c>
    </row>
    <row r="35" spans="1:23" ht="26.25" customHeight="1" thickTop="1" thickBot="1" x14ac:dyDescent="0.3">
      <c r="A35" s="325"/>
      <c r="B35" s="325"/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254">
        <f>T15+T33</f>
        <v>624002.17664479767</v>
      </c>
      <c r="U35" s="255">
        <f>U15+U33</f>
        <v>7488026.119737573</v>
      </c>
    </row>
    <row r="36" spans="1:23" ht="19.5" thickTop="1" x14ac:dyDescent="0.3">
      <c r="S36" s="57"/>
    </row>
    <row r="37" spans="1:23" ht="23.25" x14ac:dyDescent="0.35">
      <c r="M37" s="59"/>
    </row>
    <row r="39" spans="1:23" x14ac:dyDescent="0.25">
      <c r="O39" s="41"/>
    </row>
    <row r="40" spans="1:23" x14ac:dyDescent="0.25">
      <c r="V40" s="58"/>
    </row>
  </sheetData>
  <mergeCells count="40">
    <mergeCell ref="A27:O28"/>
    <mergeCell ref="A17:P18"/>
    <mergeCell ref="A23:Q24"/>
    <mergeCell ref="R3:R5"/>
    <mergeCell ref="A8:A14"/>
    <mergeCell ref="B8:B9"/>
    <mergeCell ref="B10:B14"/>
    <mergeCell ref="A15:J15"/>
    <mergeCell ref="L15:M15"/>
    <mergeCell ref="N4:N7"/>
    <mergeCell ref="T1:W1"/>
    <mergeCell ref="A3:A7"/>
    <mergeCell ref="B3:C7"/>
    <mergeCell ref="E3:K3"/>
    <mergeCell ref="L3:N3"/>
    <mergeCell ref="O3:O7"/>
    <mergeCell ref="P3:P6"/>
    <mergeCell ref="Q3:Q7"/>
    <mergeCell ref="U3:U7"/>
    <mergeCell ref="E4:E7"/>
    <mergeCell ref="F4:F5"/>
    <mergeCell ref="G4:G6"/>
    <mergeCell ref="D3:D7"/>
    <mergeCell ref="H4:H6"/>
    <mergeCell ref="A34:S35"/>
    <mergeCell ref="A2:U2"/>
    <mergeCell ref="A33:S33"/>
    <mergeCell ref="S3:S7"/>
    <mergeCell ref="T3:T7"/>
    <mergeCell ref="I4:I7"/>
    <mergeCell ref="J4:J6"/>
    <mergeCell ref="K4:K7"/>
    <mergeCell ref="L4:L7"/>
    <mergeCell ref="M4:M7"/>
    <mergeCell ref="A25:Q26"/>
    <mergeCell ref="A19:Q20"/>
    <mergeCell ref="D8:D14"/>
    <mergeCell ref="A31:Q32"/>
    <mergeCell ref="A29:Q30"/>
    <mergeCell ref="A21:Q2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36" orientation="landscape" r:id="rId1"/>
  <headerFooter scaleWithDoc="0">
    <oddHeader>&amp;C&amp;"English111 Vivace BT,Regular"&amp;26Supremo Tribunal Federal</oddHeader>
  </headerFooter>
  <colBreaks count="1" manualBreakCount="1">
    <brk id="23" max="1048575" man="1"/>
  </colBreaks>
  <ignoredErrors>
    <ignoredError sqref="I13 K13 Q13 N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X54"/>
  <sheetViews>
    <sheetView showGridLines="0" topLeftCell="A2" zoomScale="90" zoomScaleNormal="90" zoomScaleSheetLayoutView="85" zoomScalePageLayoutView="55" workbookViewId="0">
      <selection activeCell="K10" sqref="K10"/>
    </sheetView>
  </sheetViews>
  <sheetFormatPr defaultRowHeight="12.75" x14ac:dyDescent="0.2"/>
  <cols>
    <col min="1" max="1" width="9.140625" style="1"/>
    <col min="2" max="2" width="21.140625" style="1" customWidth="1"/>
    <col min="3" max="3" width="12" style="1" customWidth="1"/>
    <col min="4" max="4" width="13.42578125" style="1" customWidth="1"/>
    <col min="5" max="5" width="17.140625" style="1" customWidth="1"/>
    <col min="6" max="6" width="15.140625" style="1" customWidth="1"/>
    <col min="7" max="7" width="12.85546875" style="1" customWidth="1"/>
    <col min="8" max="8" width="15.42578125" style="1" customWidth="1"/>
    <col min="9" max="9" width="14.5703125" style="1" customWidth="1"/>
    <col min="10" max="10" width="12.85546875" style="1" customWidth="1"/>
    <col min="11" max="11" width="25" style="1" customWidth="1"/>
    <col min="12" max="12" width="15.5703125" style="1" customWidth="1"/>
    <col min="13" max="13" width="18.7109375" style="1" customWidth="1"/>
    <col min="14" max="14" width="14.5703125" style="1" customWidth="1"/>
    <col min="15" max="15" width="14.7109375" style="1" customWidth="1"/>
    <col min="16" max="16" width="14.85546875" style="1" customWidth="1"/>
    <col min="17" max="17" width="13.7109375" style="1" customWidth="1"/>
    <col min="18" max="18" width="18" style="1" customWidth="1"/>
    <col min="19" max="16384" width="9.140625" style="1"/>
  </cols>
  <sheetData>
    <row r="1" spans="2:22" ht="121.5" customHeight="1" x14ac:dyDescent="0.2">
      <c r="M1" s="410"/>
      <c r="N1" s="410"/>
      <c r="O1" s="410"/>
      <c r="P1" s="410"/>
    </row>
    <row r="2" spans="2:22" ht="28.5" customHeight="1" thickBot="1" x14ac:dyDescent="0.25">
      <c r="B2" s="2"/>
      <c r="C2" s="2"/>
      <c r="D2" s="2"/>
      <c r="E2" s="2"/>
      <c r="F2" s="2"/>
      <c r="G2" s="2"/>
      <c r="H2" s="2"/>
      <c r="I2" s="2"/>
      <c r="J2" s="2"/>
      <c r="K2" s="411"/>
      <c r="L2" s="412"/>
      <c r="M2" s="412"/>
      <c r="N2" s="412"/>
    </row>
    <row r="3" spans="2:22" ht="36" customHeight="1" thickTop="1" thickBot="1" x14ac:dyDescent="0.25">
      <c r="B3" s="382" t="s">
        <v>209</v>
      </c>
      <c r="C3" s="383"/>
      <c r="D3" s="383"/>
      <c r="E3" s="383"/>
      <c r="F3" s="383"/>
      <c r="G3" s="383"/>
      <c r="H3" s="384"/>
      <c r="I3" s="29"/>
      <c r="J3" s="15"/>
      <c r="K3" s="399" t="s">
        <v>239</v>
      </c>
      <c r="L3" s="399"/>
      <c r="M3" s="399"/>
      <c r="N3" s="399"/>
      <c r="O3" s="399"/>
      <c r="P3" s="399"/>
    </row>
    <row r="4" spans="2:22" ht="38.25" customHeight="1" thickTop="1" x14ac:dyDescent="0.2">
      <c r="B4" s="400" t="s">
        <v>50</v>
      </c>
      <c r="C4" s="402" t="s">
        <v>39</v>
      </c>
      <c r="D4" s="402"/>
      <c r="E4" s="402"/>
      <c r="F4" s="402"/>
      <c r="G4" s="402"/>
      <c r="H4" s="101" t="s">
        <v>49</v>
      </c>
      <c r="I4" s="29"/>
      <c r="J4" s="16"/>
      <c r="K4" s="403" t="s">
        <v>0</v>
      </c>
      <c r="L4" s="405" t="s">
        <v>19</v>
      </c>
      <c r="M4" s="283" t="s">
        <v>210</v>
      </c>
      <c r="N4" s="405" t="s">
        <v>18</v>
      </c>
      <c r="O4" s="405" t="s">
        <v>141</v>
      </c>
      <c r="P4" s="413" t="s">
        <v>17</v>
      </c>
      <c r="Q4" s="4"/>
      <c r="R4" s="4"/>
      <c r="S4" s="4"/>
      <c r="T4" s="4"/>
      <c r="U4" s="4"/>
      <c r="V4" s="4"/>
    </row>
    <row r="5" spans="2:22" ht="43.5" customHeight="1" x14ac:dyDescent="0.2">
      <c r="B5" s="401"/>
      <c r="C5" s="102" t="s">
        <v>36</v>
      </c>
      <c r="D5" s="112" t="s">
        <v>35</v>
      </c>
      <c r="E5" s="112" t="s">
        <v>34</v>
      </c>
      <c r="F5" s="102" t="s">
        <v>33</v>
      </c>
      <c r="G5" s="102" t="s">
        <v>32</v>
      </c>
      <c r="H5" s="103" t="s">
        <v>55</v>
      </c>
      <c r="I5" s="30"/>
      <c r="J5" s="16"/>
      <c r="K5" s="404"/>
      <c r="L5" s="406"/>
      <c r="M5" s="178">
        <f>2%</f>
        <v>0.02</v>
      </c>
      <c r="N5" s="406"/>
      <c r="O5" s="406"/>
      <c r="P5" s="414"/>
      <c r="Q5" s="4"/>
      <c r="R5" s="4"/>
      <c r="S5" s="4"/>
      <c r="T5" s="4"/>
      <c r="U5" s="4"/>
      <c r="V5" s="4"/>
    </row>
    <row r="6" spans="2:22" ht="18" customHeight="1" x14ac:dyDescent="0.2">
      <c r="B6" s="175">
        <v>44866</v>
      </c>
      <c r="C6" s="176">
        <v>15</v>
      </c>
      <c r="D6" s="176">
        <v>4</v>
      </c>
      <c r="E6" s="176">
        <v>4</v>
      </c>
      <c r="F6" s="176">
        <v>6</v>
      </c>
      <c r="G6" s="176">
        <v>1</v>
      </c>
      <c r="H6" s="177">
        <v>167</v>
      </c>
      <c r="I6" s="16"/>
      <c r="J6" s="16"/>
      <c r="K6" s="45" t="str">
        <f>B25</f>
        <v>SPP - 12X36</v>
      </c>
      <c r="L6" s="317">
        <f>42.63</f>
        <v>42.63</v>
      </c>
      <c r="M6" s="121">
        <f>(L6)-(L6*M5)</f>
        <v>41.7774</v>
      </c>
      <c r="N6" s="322">
        <f>182</f>
        <v>182</v>
      </c>
      <c r="O6" s="121">
        <f>M6*N6</f>
        <v>7603.4867999999997</v>
      </c>
      <c r="P6" s="320">
        <f>O6/PlanilhaConsolidada!R6</f>
        <v>633.62389999999994</v>
      </c>
      <c r="Q6" s="4"/>
      <c r="R6" s="4"/>
      <c r="S6" s="4"/>
      <c r="T6" s="4"/>
      <c r="U6" s="4"/>
      <c r="V6" s="4"/>
    </row>
    <row r="7" spans="2:22" ht="17.25" customHeight="1" thickBot="1" x14ac:dyDescent="0.25">
      <c r="B7" s="175">
        <v>44896</v>
      </c>
      <c r="C7" s="176">
        <v>16</v>
      </c>
      <c r="D7" s="176">
        <v>5</v>
      </c>
      <c r="E7" s="176">
        <v>5</v>
      </c>
      <c r="F7" s="176">
        <v>4</v>
      </c>
      <c r="G7" s="176">
        <v>1</v>
      </c>
      <c r="H7" s="177">
        <v>184</v>
      </c>
      <c r="I7" s="16"/>
      <c r="J7" s="16"/>
      <c r="K7" s="47" t="str">
        <f>B26</f>
        <v>SPP - 44 horas</v>
      </c>
      <c r="L7" s="319">
        <f>42.63</f>
        <v>42.63</v>
      </c>
      <c r="M7" s="315">
        <f>(L7)-(L7*M5)</f>
        <v>41.7774</v>
      </c>
      <c r="N7" s="323">
        <f>H20</f>
        <v>246</v>
      </c>
      <c r="O7" s="315">
        <f>M7*N7</f>
        <v>10277.240400000001</v>
      </c>
      <c r="P7" s="321">
        <f>O7/PlanilhaConsolidada!R6</f>
        <v>856.43670000000009</v>
      </c>
      <c r="Q7" s="4"/>
      <c r="R7" s="4"/>
      <c r="S7" s="4"/>
      <c r="T7" s="4"/>
      <c r="U7" s="4"/>
      <c r="V7" s="4"/>
    </row>
    <row r="8" spans="2:22" ht="16.5" customHeight="1" thickTop="1" x14ac:dyDescent="0.2">
      <c r="B8" s="175">
        <v>44927</v>
      </c>
      <c r="C8" s="176">
        <v>18</v>
      </c>
      <c r="D8" s="176">
        <v>4</v>
      </c>
      <c r="E8" s="176">
        <v>4</v>
      </c>
      <c r="F8" s="176">
        <v>5</v>
      </c>
      <c r="G8" s="176">
        <v>0</v>
      </c>
      <c r="H8" s="177">
        <v>194</v>
      </c>
      <c r="I8" s="16"/>
      <c r="J8" s="16"/>
      <c r="K8" s="17" t="s">
        <v>211</v>
      </c>
      <c r="L8" s="17"/>
      <c r="M8" s="18"/>
      <c r="N8" s="17"/>
      <c r="O8" s="4"/>
      <c r="Q8" s="4"/>
      <c r="R8" s="4"/>
      <c r="S8" s="4"/>
      <c r="T8" s="4"/>
      <c r="U8" s="4"/>
      <c r="V8" s="1">
        <v>12</v>
      </c>
    </row>
    <row r="9" spans="2:22" ht="16.5" customHeight="1" x14ac:dyDescent="0.2">
      <c r="B9" s="175">
        <v>44958</v>
      </c>
      <c r="C9" s="176">
        <v>14</v>
      </c>
      <c r="D9" s="176">
        <v>4</v>
      </c>
      <c r="E9" s="176">
        <v>4</v>
      </c>
      <c r="F9" s="176">
        <v>5</v>
      </c>
      <c r="G9" s="176">
        <v>1</v>
      </c>
      <c r="H9" s="177">
        <v>158</v>
      </c>
      <c r="I9" s="16"/>
      <c r="J9" s="16"/>
      <c r="K9" s="4"/>
      <c r="L9" s="4"/>
      <c r="M9" s="4"/>
      <c r="N9" s="4"/>
      <c r="Q9" s="4"/>
      <c r="R9" s="4"/>
      <c r="S9" s="4"/>
      <c r="T9" s="4"/>
      <c r="U9" s="4"/>
    </row>
    <row r="10" spans="2:22" ht="18" customHeight="1" thickBot="1" x14ac:dyDescent="0.25">
      <c r="B10" s="175">
        <v>44986</v>
      </c>
      <c r="C10" s="176">
        <v>18</v>
      </c>
      <c r="D10" s="176">
        <v>5</v>
      </c>
      <c r="E10" s="176">
        <v>4</v>
      </c>
      <c r="F10" s="176">
        <v>4</v>
      </c>
      <c r="G10" s="176">
        <v>0</v>
      </c>
      <c r="H10" s="177">
        <v>202</v>
      </c>
      <c r="I10" s="16"/>
      <c r="J10" s="16"/>
      <c r="K10" s="28"/>
      <c r="L10" s="28"/>
      <c r="M10" s="28"/>
      <c r="N10" s="28"/>
      <c r="O10" s="28"/>
      <c r="P10" s="28"/>
      <c r="Q10" s="28"/>
      <c r="R10" s="28"/>
    </row>
    <row r="11" spans="2:22" ht="16.5" customHeight="1" thickTop="1" x14ac:dyDescent="0.2">
      <c r="B11" s="175">
        <v>45017</v>
      </c>
      <c r="C11" s="176">
        <v>14</v>
      </c>
      <c r="D11" s="176">
        <v>2</v>
      </c>
      <c r="E11" s="176">
        <v>5</v>
      </c>
      <c r="F11" s="176">
        <v>7</v>
      </c>
      <c r="G11" s="176">
        <v>2</v>
      </c>
      <c r="H11" s="177">
        <v>142</v>
      </c>
      <c r="I11" s="16"/>
      <c r="J11" s="64"/>
      <c r="K11" s="415" t="s">
        <v>73</v>
      </c>
      <c r="L11" s="416"/>
      <c r="M11" s="416"/>
      <c r="N11" s="416"/>
      <c r="O11" s="416"/>
      <c r="P11" s="416"/>
      <c r="Q11" s="416"/>
      <c r="R11" s="417"/>
    </row>
    <row r="12" spans="2:22" ht="15.75" customHeight="1" x14ac:dyDescent="0.2">
      <c r="B12" s="175">
        <v>45047</v>
      </c>
      <c r="C12" s="176">
        <v>18</v>
      </c>
      <c r="D12" s="176">
        <v>4</v>
      </c>
      <c r="E12" s="176">
        <v>4</v>
      </c>
      <c r="F12" s="176">
        <v>5</v>
      </c>
      <c r="G12" s="176">
        <v>0</v>
      </c>
      <c r="H12" s="177">
        <v>194</v>
      </c>
      <c r="I12" s="16"/>
      <c r="J12" s="65"/>
      <c r="K12" s="420" t="s">
        <v>68</v>
      </c>
      <c r="L12" s="421"/>
      <c r="M12" s="418" t="s">
        <v>60</v>
      </c>
      <c r="N12" s="418" t="s">
        <v>70</v>
      </c>
      <c r="O12" s="418" t="s">
        <v>67</v>
      </c>
      <c r="P12" s="418" t="s">
        <v>71</v>
      </c>
      <c r="Q12" s="418" t="s">
        <v>72</v>
      </c>
      <c r="R12" s="424" t="s">
        <v>69</v>
      </c>
    </row>
    <row r="13" spans="2:22" s="2" customFormat="1" ht="15.75" customHeight="1" x14ac:dyDescent="0.2">
      <c r="B13" s="175">
        <v>45078</v>
      </c>
      <c r="C13" s="176">
        <v>16</v>
      </c>
      <c r="D13" s="176">
        <v>5</v>
      </c>
      <c r="E13" s="176">
        <v>4</v>
      </c>
      <c r="F13" s="176">
        <v>5</v>
      </c>
      <c r="G13" s="176">
        <v>0</v>
      </c>
      <c r="H13" s="177">
        <v>184</v>
      </c>
      <c r="I13" s="16"/>
      <c r="J13" s="66"/>
      <c r="K13" s="422"/>
      <c r="L13" s="423"/>
      <c r="M13" s="419"/>
      <c r="N13" s="419"/>
      <c r="O13" s="419"/>
      <c r="P13" s="419"/>
      <c r="Q13" s="419"/>
      <c r="R13" s="388"/>
    </row>
    <row r="14" spans="2:22" s="2" customFormat="1" ht="18" customHeight="1" x14ac:dyDescent="0.2">
      <c r="B14" s="175">
        <v>45108</v>
      </c>
      <c r="C14" s="176">
        <v>17</v>
      </c>
      <c r="D14" s="176">
        <v>4</v>
      </c>
      <c r="E14" s="176">
        <v>5</v>
      </c>
      <c r="F14" s="176">
        <v>5</v>
      </c>
      <c r="G14" s="176">
        <v>0</v>
      </c>
      <c r="H14" s="177">
        <v>185</v>
      </c>
      <c r="I14" s="16"/>
      <c r="J14" s="66"/>
      <c r="K14" s="313" t="str">
        <f>B25</f>
        <v>SPP - 12X36</v>
      </c>
      <c r="L14" s="179" t="str">
        <f>PlanilhaConsolidada!C9</f>
        <v>Noturno</v>
      </c>
      <c r="M14" s="121">
        <f>ROUND(SUM(PlanilhaConsolidada!E9:G9),2)</f>
        <v>5879.73</v>
      </c>
      <c r="N14" s="179">
        <v>220</v>
      </c>
      <c r="O14" s="275">
        <v>0.2</v>
      </c>
      <c r="P14" s="181">
        <f>(60*7)/52.5</f>
        <v>8</v>
      </c>
      <c r="Q14" s="119">
        <v>15</v>
      </c>
      <c r="R14" s="314">
        <f>(M14/N14)*O14*P14*Q14</f>
        <v>641.42509090909084</v>
      </c>
    </row>
    <row r="15" spans="2:22" ht="15.75" customHeight="1" x14ac:dyDescent="0.2">
      <c r="B15" s="175">
        <v>45139</v>
      </c>
      <c r="C15" s="176">
        <v>19</v>
      </c>
      <c r="D15" s="176">
        <v>3</v>
      </c>
      <c r="E15" s="176">
        <v>4</v>
      </c>
      <c r="F15" s="176">
        <v>4</v>
      </c>
      <c r="G15" s="176">
        <v>1</v>
      </c>
      <c r="H15" s="177">
        <v>195</v>
      </c>
      <c r="I15" s="16"/>
      <c r="J15" s="4"/>
      <c r="K15" s="394" t="str">
        <f>B26</f>
        <v>SPP - 44 horas</v>
      </c>
      <c r="L15" s="179" t="str">
        <f>PlanilhaConsolidada!C11</f>
        <v>13h às 23h</v>
      </c>
      <c r="M15" s="121">
        <f>SUM(PlanilhaConsolidada!E11:G11)</f>
        <v>5879.73</v>
      </c>
      <c r="N15" s="179">
        <v>220</v>
      </c>
      <c r="O15" s="275">
        <v>0.2</v>
      </c>
      <c r="P15" s="183">
        <f>(60*1)/52.5</f>
        <v>1.1428571428571428</v>
      </c>
      <c r="Q15" s="119">
        <v>22</v>
      </c>
      <c r="R15" s="314">
        <f>(M15/N15)*O15*P15*Q15</f>
        <v>134.39382857142854</v>
      </c>
    </row>
    <row r="16" spans="2:22" ht="15.75" customHeight="1" x14ac:dyDescent="0.2">
      <c r="B16" s="175">
        <v>45170</v>
      </c>
      <c r="C16" s="176">
        <v>15</v>
      </c>
      <c r="D16" s="176">
        <v>5</v>
      </c>
      <c r="E16" s="176">
        <v>5</v>
      </c>
      <c r="F16" s="176">
        <v>5</v>
      </c>
      <c r="G16" s="176">
        <v>0</v>
      </c>
      <c r="H16" s="177">
        <v>175</v>
      </c>
      <c r="I16" s="16"/>
      <c r="J16" s="4"/>
      <c r="K16" s="395"/>
      <c r="L16" s="179" t="str">
        <f>PlanilhaConsolidada!C12</f>
        <v>15h às 01h</v>
      </c>
      <c r="M16" s="121">
        <f>SUM(PlanilhaConsolidada!E12:G12)</f>
        <v>5879.73</v>
      </c>
      <c r="N16" s="161">
        <v>220</v>
      </c>
      <c r="O16" s="276">
        <v>0.2</v>
      </c>
      <c r="P16" s="183">
        <f>(60*3)/52.5</f>
        <v>3.4285714285714284</v>
      </c>
      <c r="Q16" s="119">
        <v>22</v>
      </c>
      <c r="R16" s="314">
        <f t="shared" ref="R16:R17" si="0">(M16/N16)*O16*P16*Q16</f>
        <v>403.18148571428566</v>
      </c>
      <c r="S16" s="4"/>
      <c r="T16" s="4"/>
    </row>
    <row r="17" spans="2:20" ht="16.5" customHeight="1" x14ac:dyDescent="0.2">
      <c r="B17" s="175">
        <v>45200</v>
      </c>
      <c r="C17" s="176">
        <v>17</v>
      </c>
      <c r="D17" s="176">
        <v>4</v>
      </c>
      <c r="E17" s="176">
        <v>3</v>
      </c>
      <c r="F17" s="176">
        <v>6</v>
      </c>
      <c r="G17" s="176">
        <v>1</v>
      </c>
      <c r="H17" s="177">
        <v>185</v>
      </c>
      <c r="I17" s="16"/>
      <c r="J17" s="4"/>
      <c r="K17" s="395"/>
      <c r="L17" s="179" t="str">
        <f>PlanilhaConsolidada!C13</f>
        <v>19h às 05h</v>
      </c>
      <c r="M17" s="121">
        <f>SUM(PlanilhaConsolidada!E13:G13)</f>
        <v>5879.73</v>
      </c>
      <c r="N17" s="161">
        <v>220</v>
      </c>
      <c r="O17" s="276">
        <v>0.2</v>
      </c>
      <c r="P17" s="182">
        <f>(60*7)/52.5</f>
        <v>8</v>
      </c>
      <c r="Q17" s="119">
        <v>22</v>
      </c>
      <c r="R17" s="314">
        <f t="shared" si="0"/>
        <v>940.75679999999988</v>
      </c>
      <c r="S17" s="4"/>
      <c r="T17" s="4"/>
    </row>
    <row r="18" spans="2:20" ht="15.75" customHeight="1" thickBot="1" x14ac:dyDescent="0.25">
      <c r="B18" s="407"/>
      <c r="C18" s="408"/>
      <c r="D18" s="408"/>
      <c r="E18" s="408"/>
      <c r="F18" s="408"/>
      <c r="G18" s="409"/>
      <c r="H18" s="165"/>
      <c r="I18" s="16"/>
      <c r="J18" s="5"/>
      <c r="K18" s="396"/>
      <c r="L18" s="180" t="str">
        <f>PlanilhaConsolidada!C14</f>
        <v>21h às 07h</v>
      </c>
      <c r="M18" s="315">
        <f>PlanilhaConsolidada!E14+PlanilhaConsolidada!F14+PlanilhaConsolidada!G14</f>
        <v>5879.73</v>
      </c>
      <c r="N18" s="274">
        <v>220</v>
      </c>
      <c r="O18" s="277">
        <v>0.2</v>
      </c>
      <c r="P18" s="184">
        <f>(60*7)/52.5</f>
        <v>8</v>
      </c>
      <c r="Q18" s="278">
        <v>22</v>
      </c>
      <c r="R18" s="316">
        <f t="shared" ref="R18" si="1">(M18/N18)*O18*P18*Q18</f>
        <v>940.75679999999988</v>
      </c>
      <c r="S18" s="4"/>
      <c r="T18" s="4"/>
    </row>
    <row r="19" spans="2:20" ht="13.5" thickTop="1" x14ac:dyDescent="0.2">
      <c r="B19" s="174" t="s">
        <v>22</v>
      </c>
      <c r="C19" s="173">
        <f>SUM(C6:C18)</f>
        <v>197</v>
      </c>
      <c r="D19" s="173">
        <f>SUM(D6:D18)</f>
        <v>49</v>
      </c>
      <c r="E19" s="428" t="s">
        <v>140</v>
      </c>
      <c r="F19" s="429"/>
      <c r="G19" s="430"/>
      <c r="H19" s="172">
        <f>SUM(H6:H17)</f>
        <v>2165</v>
      </c>
      <c r="I19" s="16"/>
      <c r="J19" s="42"/>
      <c r="K19" s="312"/>
      <c r="L19" s="19"/>
      <c r="M19" s="19"/>
      <c r="N19" s="16"/>
      <c r="O19" s="18"/>
      <c r="P19" s="4"/>
      <c r="Q19" s="4"/>
      <c r="R19" s="4"/>
      <c r="S19" s="4"/>
      <c r="T19" s="4"/>
    </row>
    <row r="20" spans="2:20" ht="18" customHeight="1" thickBot="1" x14ac:dyDescent="0.25">
      <c r="B20" s="431" t="s">
        <v>22</v>
      </c>
      <c r="C20" s="432"/>
      <c r="D20" s="432"/>
      <c r="E20" s="432"/>
      <c r="F20" s="432"/>
      <c r="G20" s="432"/>
      <c r="H20" s="171">
        <f>C19+D19</f>
        <v>246</v>
      </c>
      <c r="I20" s="16"/>
      <c r="J20" s="62"/>
      <c r="K20" s="3"/>
      <c r="L20" s="16"/>
      <c r="M20" s="16"/>
      <c r="N20" s="16"/>
      <c r="O20" s="18"/>
      <c r="P20" s="4"/>
      <c r="Q20" s="4"/>
      <c r="R20" s="4"/>
      <c r="S20" s="4"/>
      <c r="T20" s="4"/>
    </row>
    <row r="21" spans="2:20" ht="12.75" customHeight="1" thickTop="1" x14ac:dyDescent="0.2">
      <c r="B21" s="55"/>
      <c r="C21" s="55"/>
      <c r="D21" s="55"/>
      <c r="E21" s="55"/>
      <c r="F21" s="55"/>
      <c r="G21" s="55"/>
      <c r="H21" s="54"/>
      <c r="I21" s="16"/>
      <c r="J21" s="62"/>
      <c r="P21" s="253"/>
      <c r="Q21" s="4"/>
      <c r="R21" s="4"/>
    </row>
    <row r="22" spans="2:20" ht="18" customHeight="1" thickBot="1" x14ac:dyDescent="0.25">
      <c r="B22" s="433" t="s">
        <v>48</v>
      </c>
      <c r="C22" s="433"/>
      <c r="D22" s="433"/>
      <c r="E22" s="433"/>
      <c r="F22" s="433"/>
      <c r="G22" s="433"/>
      <c r="H22" s="433"/>
      <c r="I22" s="433"/>
      <c r="J22" s="62"/>
      <c r="P22" s="4"/>
      <c r="Q22" s="4"/>
      <c r="R22" s="4"/>
    </row>
    <row r="23" spans="2:20" ht="18" customHeight="1" thickTop="1" thickBot="1" x14ac:dyDescent="0.25">
      <c r="B23" s="390" t="s">
        <v>16</v>
      </c>
      <c r="C23" s="386" t="s">
        <v>4</v>
      </c>
      <c r="D23" s="386" t="s">
        <v>160</v>
      </c>
      <c r="E23" s="386" t="s">
        <v>13</v>
      </c>
      <c r="F23" s="386" t="s">
        <v>161</v>
      </c>
      <c r="G23" s="386" t="s">
        <v>21</v>
      </c>
      <c r="H23" s="436" t="s">
        <v>20</v>
      </c>
      <c r="I23" s="387" t="s">
        <v>11</v>
      </c>
      <c r="J23" s="62"/>
      <c r="K23" s="433" t="s">
        <v>142</v>
      </c>
      <c r="L23" s="433"/>
      <c r="M23" s="433"/>
      <c r="N23" s="433"/>
      <c r="O23" s="433"/>
      <c r="P23" s="4"/>
      <c r="Q23" s="4"/>
      <c r="R23" s="4"/>
    </row>
    <row r="24" spans="2:20" ht="18" customHeight="1" thickTop="1" x14ac:dyDescent="0.2">
      <c r="B24" s="390"/>
      <c r="C24" s="386"/>
      <c r="D24" s="386"/>
      <c r="E24" s="386"/>
      <c r="F24" s="386"/>
      <c r="G24" s="386"/>
      <c r="H24" s="436"/>
      <c r="I24" s="388"/>
      <c r="J24" s="62"/>
      <c r="K24" s="437" t="s">
        <v>143</v>
      </c>
      <c r="L24" s="438"/>
      <c r="M24" s="392" t="str">
        <f>PlanilhaConsolidada!Q3</f>
        <v>Total unitário mensal do posto de trabalho
(R$)</v>
      </c>
      <c r="N24" s="392" t="s">
        <v>144</v>
      </c>
      <c r="O24" s="397" t="s">
        <v>145</v>
      </c>
      <c r="P24" s="4"/>
      <c r="Q24" s="4"/>
      <c r="R24" s="4"/>
    </row>
    <row r="25" spans="2:20" ht="24" customHeight="1" x14ac:dyDescent="0.2">
      <c r="B25" s="45" t="s">
        <v>170</v>
      </c>
      <c r="C25" s="317">
        <f>PlanilhaConsolidada!E8</f>
        <v>4277.83</v>
      </c>
      <c r="D25" s="121">
        <f>C25*PlanilhaConsolidada!R6</f>
        <v>51333.96</v>
      </c>
      <c r="E25" s="318">
        <f>182</f>
        <v>182</v>
      </c>
      <c r="F25" s="21">
        <f>D25/E25</f>
        <v>282.05472527472529</v>
      </c>
      <c r="G25" s="21">
        <f>F25*0.06</f>
        <v>16.923283516483515</v>
      </c>
      <c r="H25" s="22">
        <f>E25</f>
        <v>182</v>
      </c>
      <c r="I25" s="314">
        <f>G25*H25</f>
        <v>3080.0375999999997</v>
      </c>
      <c r="J25" s="62"/>
      <c r="K25" s="439"/>
      <c r="L25" s="440"/>
      <c r="M25" s="393"/>
      <c r="N25" s="393"/>
      <c r="O25" s="398"/>
      <c r="P25" s="4"/>
      <c r="Q25" s="4"/>
      <c r="R25" s="4"/>
    </row>
    <row r="26" spans="2:20" ht="24.75" customHeight="1" thickBot="1" x14ac:dyDescent="0.25">
      <c r="B26" s="45" t="s">
        <v>171</v>
      </c>
      <c r="C26" s="317">
        <f>PlanilhaConsolidada!E10</f>
        <v>4277.83</v>
      </c>
      <c r="D26" s="315">
        <f>C26*PlanilhaConsolidada!R6</f>
        <v>51333.96</v>
      </c>
      <c r="E26" s="318">
        <f>H20</f>
        <v>246</v>
      </c>
      <c r="F26" s="21">
        <f>D26/E26</f>
        <v>208.67463414634145</v>
      </c>
      <c r="G26" s="21">
        <f>F26*0.06</f>
        <v>12.520478048780486</v>
      </c>
      <c r="H26" s="22">
        <f>H20</f>
        <v>246</v>
      </c>
      <c r="I26" s="314">
        <f>G26*H26</f>
        <v>3080.0375999999997</v>
      </c>
      <c r="J26" s="62"/>
      <c r="K26" s="434" t="str">
        <f>B25</f>
        <v>SPP - 12X36</v>
      </c>
      <c r="L26" s="37" t="s">
        <v>212</v>
      </c>
      <c r="M26" s="121">
        <f>PlanilhaConsolidada!Q8</f>
        <v>13195.576865517243</v>
      </c>
      <c r="N26" s="56">
        <v>220</v>
      </c>
      <c r="O26" s="122">
        <f t="shared" ref="O26:O32" si="2">M26/N26</f>
        <v>59.979894843260197</v>
      </c>
      <c r="P26" s="4"/>
      <c r="Q26" s="4"/>
      <c r="R26" s="4"/>
    </row>
    <row r="27" spans="2:20" ht="22.5" customHeight="1" thickTop="1" thickBot="1" x14ac:dyDescent="0.25">
      <c r="B27" s="26"/>
      <c r="C27" s="27"/>
      <c r="D27" s="27"/>
      <c r="E27" s="27"/>
      <c r="F27" s="27"/>
      <c r="G27" s="27"/>
      <c r="H27" s="27"/>
      <c r="I27" s="154"/>
      <c r="J27" s="150"/>
      <c r="K27" s="435"/>
      <c r="L27" s="37" t="s">
        <v>213</v>
      </c>
      <c r="M27" s="121">
        <f>PlanilhaConsolidada!Q9</f>
        <v>14550.080138244517</v>
      </c>
      <c r="N27" s="56">
        <v>220</v>
      </c>
      <c r="O27" s="122">
        <f t="shared" si="2"/>
        <v>66.136727901111442</v>
      </c>
      <c r="P27" s="4"/>
      <c r="Q27" s="4"/>
      <c r="R27" s="4"/>
    </row>
    <row r="28" spans="2:20" ht="18" customHeight="1" thickTop="1" x14ac:dyDescent="0.2">
      <c r="B28" s="389" t="s">
        <v>16</v>
      </c>
      <c r="C28" s="385" t="s">
        <v>15</v>
      </c>
      <c r="D28" s="385" t="s">
        <v>14</v>
      </c>
      <c r="E28" s="385" t="s">
        <v>13</v>
      </c>
      <c r="F28" s="385" t="s">
        <v>12</v>
      </c>
      <c r="G28" s="385" t="s">
        <v>11</v>
      </c>
      <c r="H28" s="385" t="s">
        <v>10</v>
      </c>
      <c r="I28" s="387" t="s">
        <v>9</v>
      </c>
      <c r="J28" s="62"/>
      <c r="K28" s="425" t="str">
        <f>B26</f>
        <v>SPP - 44 horas</v>
      </c>
      <c r="L28" s="37" t="s">
        <v>75</v>
      </c>
      <c r="M28" s="121">
        <f>PlanilhaConsolidada!Q10</f>
        <v>13469.610998850576</v>
      </c>
      <c r="N28" s="119">
        <v>220</v>
      </c>
      <c r="O28" s="122">
        <f t="shared" si="2"/>
        <v>61.225504540229892</v>
      </c>
      <c r="P28" s="4"/>
      <c r="Q28" s="4"/>
      <c r="R28" s="4"/>
    </row>
    <row r="29" spans="2:20" ht="18" customHeight="1" x14ac:dyDescent="0.2">
      <c r="B29" s="390"/>
      <c r="C29" s="386"/>
      <c r="D29" s="386"/>
      <c r="E29" s="386"/>
      <c r="F29" s="386"/>
      <c r="G29" s="386"/>
      <c r="H29" s="386"/>
      <c r="I29" s="388"/>
      <c r="J29" s="62"/>
      <c r="K29" s="426"/>
      <c r="L29" s="123" t="s">
        <v>66</v>
      </c>
      <c r="M29" s="121">
        <f>PlanilhaConsolidada!Q11</f>
        <v>13753.41168456486</v>
      </c>
      <c r="N29" s="119">
        <v>220</v>
      </c>
      <c r="O29" s="122">
        <f t="shared" si="2"/>
        <v>62.515507657113005</v>
      </c>
      <c r="P29" s="4"/>
      <c r="Q29" s="4"/>
      <c r="R29" s="4"/>
      <c r="S29" s="4"/>
      <c r="T29" s="4"/>
    </row>
    <row r="30" spans="2:20" ht="24.75" customHeight="1" x14ac:dyDescent="0.2">
      <c r="B30" s="46" t="str">
        <f>B25</f>
        <v>SPP - 12X36</v>
      </c>
      <c r="C30" s="317">
        <v>5.5</v>
      </c>
      <c r="D30" s="25">
        <v>2</v>
      </c>
      <c r="E30" s="25">
        <f>E25</f>
        <v>182</v>
      </c>
      <c r="F30" s="317">
        <f>(C30*D30)*E30</f>
        <v>2002</v>
      </c>
      <c r="G30" s="317">
        <f>I25</f>
        <v>3080.0375999999997</v>
      </c>
      <c r="H30" s="317">
        <f>IF(F30-G30&lt;=0,0,F30-G30)</f>
        <v>0</v>
      </c>
      <c r="I30" s="314">
        <f>H30/12</f>
        <v>0</v>
      </c>
      <c r="J30" s="62"/>
      <c r="K30" s="426"/>
      <c r="L30" s="37" t="s">
        <v>58</v>
      </c>
      <c r="M30" s="121">
        <f>PlanilhaConsolidada!Q12</f>
        <v>14321.013055993433</v>
      </c>
      <c r="N30" s="119">
        <v>220</v>
      </c>
      <c r="O30" s="122">
        <f t="shared" si="2"/>
        <v>65.095513890879246</v>
      </c>
      <c r="P30" s="4"/>
      <c r="Q30" s="4"/>
      <c r="R30" s="4"/>
      <c r="S30" s="4"/>
      <c r="T30" s="4"/>
    </row>
    <row r="31" spans="2:20" ht="22.5" customHeight="1" thickBot="1" x14ac:dyDescent="0.25">
      <c r="B31" s="47" t="str">
        <f>B26</f>
        <v>SPP - 44 horas</v>
      </c>
      <c r="C31" s="319">
        <v>5.5</v>
      </c>
      <c r="D31" s="24">
        <v>2</v>
      </c>
      <c r="E31" s="24">
        <f>E26</f>
        <v>246</v>
      </c>
      <c r="F31" s="319">
        <f>(C31*D31)*E31</f>
        <v>2706</v>
      </c>
      <c r="G31" s="319">
        <f>I26</f>
        <v>3080.0375999999997</v>
      </c>
      <c r="H31" s="319">
        <f>IF(F31-G31&lt;=0,0,F31-G31)</f>
        <v>0</v>
      </c>
      <c r="I31" s="316">
        <f>H31/12</f>
        <v>0</v>
      </c>
      <c r="J31" s="62"/>
      <c r="K31" s="426"/>
      <c r="L31" s="123" t="s">
        <v>59</v>
      </c>
      <c r="M31" s="121">
        <f>PlanilhaConsolidada!Q13</f>
        <v>15456.215798850577</v>
      </c>
      <c r="N31" s="119">
        <v>220</v>
      </c>
      <c r="O31" s="122">
        <f t="shared" si="2"/>
        <v>70.255526358411714</v>
      </c>
      <c r="P31" s="4"/>
      <c r="Q31" s="4"/>
      <c r="R31" s="4"/>
      <c r="S31" s="4"/>
      <c r="T31" s="4"/>
    </row>
    <row r="32" spans="2:20" ht="21.75" customHeight="1" thickTop="1" thickBot="1" x14ac:dyDescent="0.25">
      <c r="B32" s="3"/>
      <c r="C32" s="3"/>
      <c r="D32" s="3"/>
      <c r="E32" s="3"/>
      <c r="F32" s="3"/>
      <c r="G32" s="3"/>
      <c r="H32" s="3"/>
      <c r="I32" s="17"/>
      <c r="J32" s="62"/>
      <c r="K32" s="427"/>
      <c r="L32" s="152" t="s">
        <v>159</v>
      </c>
      <c r="M32" s="153">
        <f>PlanilhaConsolidada!Q14</f>
        <v>15456.215798850577</v>
      </c>
      <c r="N32" s="120">
        <v>220</v>
      </c>
      <c r="O32" s="281">
        <f t="shared" si="2"/>
        <v>70.255526358411714</v>
      </c>
      <c r="P32" s="151"/>
      <c r="Q32" s="4"/>
      <c r="R32" s="4"/>
      <c r="S32" s="4"/>
      <c r="T32" s="4"/>
    </row>
    <row r="33" spans="2:21" ht="18" customHeight="1" thickTop="1" x14ac:dyDescent="0.2">
      <c r="B33" s="43" t="s">
        <v>56</v>
      </c>
      <c r="C33" s="3"/>
      <c r="D33" s="3"/>
      <c r="E33" s="3"/>
      <c r="F33" s="3"/>
      <c r="G33" s="3"/>
      <c r="H33" s="3"/>
      <c r="I33" s="17"/>
      <c r="J33" s="62"/>
      <c r="K33" s="3"/>
      <c r="L33" s="15"/>
      <c r="M33" s="15"/>
      <c r="N33" s="15"/>
      <c r="O33" s="17"/>
      <c r="P33" s="4"/>
      <c r="Q33" s="4"/>
      <c r="R33" s="4"/>
    </row>
    <row r="34" spans="2:21" ht="11.25" customHeight="1" x14ac:dyDescent="0.2">
      <c r="B34" s="391" t="s">
        <v>205</v>
      </c>
      <c r="C34" s="391"/>
      <c r="D34" s="391"/>
      <c r="E34" s="391"/>
      <c r="F34" s="391"/>
      <c r="G34" s="391"/>
      <c r="H34" s="391"/>
      <c r="I34" s="391"/>
      <c r="J34" s="62"/>
      <c r="K34" s="4"/>
      <c r="L34" s="4"/>
      <c r="M34" s="4"/>
      <c r="N34" s="4"/>
      <c r="O34" s="4"/>
    </row>
    <row r="35" spans="2:21" ht="24.75" customHeight="1" x14ac:dyDescent="0.2">
      <c r="B35" s="381" t="s">
        <v>206</v>
      </c>
      <c r="C35" s="381"/>
      <c r="D35" s="381"/>
      <c r="E35" s="381"/>
      <c r="F35" s="381"/>
      <c r="G35" s="381"/>
      <c r="H35" s="381"/>
      <c r="I35" s="381"/>
      <c r="J35" s="62"/>
      <c r="K35" s="4"/>
      <c r="L35" s="4"/>
      <c r="M35" s="4"/>
      <c r="N35" s="4"/>
      <c r="O35" s="4"/>
    </row>
    <row r="36" spans="2:21" ht="28.5" customHeight="1" x14ac:dyDescent="0.2">
      <c r="B36" s="381" t="s">
        <v>207</v>
      </c>
      <c r="C36" s="381"/>
      <c r="D36" s="381"/>
      <c r="E36" s="381"/>
      <c r="F36" s="381"/>
      <c r="G36" s="381"/>
      <c r="H36" s="381"/>
      <c r="I36" s="381"/>
      <c r="J36" s="62"/>
      <c r="K36" s="4"/>
      <c r="L36" s="4"/>
      <c r="M36" s="4"/>
      <c r="N36" s="4"/>
      <c r="O36" s="4"/>
    </row>
    <row r="37" spans="2:21" ht="41.25" customHeight="1" x14ac:dyDescent="0.2">
      <c r="B37" s="380" t="s">
        <v>208</v>
      </c>
      <c r="C37" s="380"/>
      <c r="D37" s="380"/>
      <c r="E37" s="380"/>
      <c r="F37" s="380"/>
      <c r="G37" s="380"/>
      <c r="H37" s="380"/>
      <c r="I37" s="380"/>
      <c r="J37" s="62"/>
      <c r="K37" s="4"/>
      <c r="L37" s="4"/>
      <c r="M37" s="4"/>
      <c r="N37" s="4"/>
      <c r="O37" s="4"/>
    </row>
    <row r="38" spans="2:21" ht="28.5" customHeight="1" x14ac:dyDescent="0.2">
      <c r="I38" s="3"/>
      <c r="J38" s="62"/>
      <c r="K38" s="4"/>
      <c r="L38" s="4"/>
      <c r="M38" s="4"/>
      <c r="N38" s="4"/>
      <c r="O38" s="4"/>
    </row>
    <row r="39" spans="2:21" ht="24" customHeight="1" x14ac:dyDescent="0.2">
      <c r="I39" s="3"/>
      <c r="J39" s="16"/>
      <c r="K39" s="149"/>
      <c r="L39" s="149"/>
      <c r="M39" s="4"/>
      <c r="N39" s="4"/>
      <c r="O39" s="4"/>
    </row>
    <row r="40" spans="2:21" ht="21" customHeight="1" x14ac:dyDescent="0.2">
      <c r="I40" s="114"/>
      <c r="K40" s="18"/>
      <c r="L40" s="18"/>
      <c r="M40" s="4"/>
      <c r="N40" s="4"/>
      <c r="O40" s="4"/>
      <c r="P40" s="4"/>
    </row>
    <row r="41" spans="2:21" s="17" customFormat="1" ht="13.5" customHeight="1" x14ac:dyDescent="0.2">
      <c r="B41" s="1"/>
      <c r="C41" s="1"/>
      <c r="D41" s="1"/>
      <c r="E41" s="1"/>
      <c r="F41" s="1"/>
      <c r="G41" s="1"/>
      <c r="H41" s="1"/>
      <c r="I41" s="114"/>
      <c r="K41" s="18"/>
      <c r="L41" s="18"/>
      <c r="M41" s="4"/>
      <c r="N41" s="4"/>
      <c r="O41" s="4"/>
      <c r="P41" s="4"/>
      <c r="Q41" s="1"/>
      <c r="R41" s="1"/>
    </row>
    <row r="42" spans="2:21" s="17" customFormat="1" ht="29.25" customHeight="1" x14ac:dyDescent="0.2">
      <c r="B42" s="1"/>
      <c r="C42" s="1"/>
      <c r="D42" s="1"/>
      <c r="E42" s="1"/>
      <c r="F42" s="1"/>
      <c r="G42" s="1"/>
      <c r="H42" s="1"/>
      <c r="I42" s="115"/>
      <c r="K42" s="18"/>
      <c r="L42" s="18"/>
      <c r="M42" s="18"/>
      <c r="N42" s="18"/>
      <c r="O42" s="18"/>
      <c r="P42" s="18"/>
      <c r="S42" s="18"/>
      <c r="T42" s="18"/>
      <c r="U42" s="18"/>
    </row>
    <row r="43" spans="2:21" s="17" customFormat="1" ht="25.5" customHeight="1" x14ac:dyDescent="0.2">
      <c r="B43" s="1"/>
      <c r="C43" s="1"/>
      <c r="D43" s="1"/>
      <c r="E43" s="1"/>
      <c r="F43" s="1"/>
      <c r="G43" s="1"/>
      <c r="H43" s="1"/>
      <c r="I43" s="1"/>
      <c r="P43" s="18"/>
      <c r="Q43" s="18"/>
      <c r="R43" s="18"/>
      <c r="S43" s="18"/>
      <c r="T43" s="18"/>
      <c r="U43" s="18"/>
    </row>
    <row r="44" spans="2:21" s="17" customFormat="1" x14ac:dyDescent="0.2">
      <c r="B44" s="1"/>
      <c r="C44" s="1"/>
      <c r="D44" s="1"/>
      <c r="E44" s="1"/>
      <c r="F44" s="1"/>
      <c r="G44" s="1"/>
      <c r="H44" s="1"/>
      <c r="I44" s="1"/>
      <c r="J44" s="16"/>
      <c r="P44" s="1"/>
      <c r="Q44" s="18"/>
      <c r="R44" s="18"/>
      <c r="S44" s="18"/>
      <c r="T44" s="18"/>
      <c r="U44" s="18"/>
    </row>
    <row r="45" spans="2:21" s="17" customFormat="1" ht="12.75" customHeight="1" x14ac:dyDescent="0.2">
      <c r="B45" s="1"/>
      <c r="C45" s="1"/>
      <c r="D45" s="1"/>
      <c r="E45" s="1"/>
      <c r="F45" s="1"/>
      <c r="G45" s="1"/>
      <c r="H45" s="1"/>
      <c r="I45" s="1"/>
      <c r="J45" s="20"/>
      <c r="K45" s="1"/>
      <c r="L45" s="1"/>
      <c r="M45" s="1"/>
      <c r="N45" s="1"/>
      <c r="O45" s="1"/>
      <c r="P45" s="1"/>
      <c r="Q45" s="18"/>
      <c r="R45" s="18"/>
      <c r="S45" s="18"/>
      <c r="T45" s="18"/>
      <c r="U45" s="18"/>
    </row>
    <row r="46" spans="2:21" s="17" customFormat="1" ht="15.75" customHeight="1" x14ac:dyDescent="0.2">
      <c r="B46" s="1"/>
      <c r="C46" s="1"/>
      <c r="D46" s="1"/>
      <c r="E46" s="1"/>
      <c r="F46" s="1"/>
      <c r="G46" s="1"/>
      <c r="H46" s="1"/>
      <c r="I46" s="1"/>
      <c r="J46" s="20"/>
      <c r="K46" s="1"/>
      <c r="L46" s="1"/>
      <c r="M46" s="1"/>
      <c r="N46" s="1"/>
      <c r="O46" s="1"/>
      <c r="P46" s="1"/>
      <c r="Q46" s="18"/>
      <c r="R46" s="18"/>
      <c r="S46" s="18"/>
      <c r="T46" s="18"/>
      <c r="U46" s="18"/>
    </row>
    <row r="47" spans="2:21" s="17" customFormat="1" ht="34.5" customHeight="1" x14ac:dyDescent="0.2">
      <c r="B47" s="1"/>
      <c r="C47" s="1"/>
      <c r="D47" s="1"/>
      <c r="E47" s="1"/>
      <c r="F47" s="1"/>
      <c r="G47" s="1"/>
      <c r="H47" s="1"/>
      <c r="I47" s="1"/>
      <c r="J47" s="23"/>
      <c r="K47" s="1"/>
      <c r="L47" s="1"/>
      <c r="M47" s="1"/>
      <c r="N47" s="1"/>
      <c r="O47" s="1"/>
      <c r="P47" s="1"/>
      <c r="Q47" s="1"/>
      <c r="R47" s="18"/>
      <c r="S47" s="18"/>
      <c r="T47" s="18"/>
      <c r="U47" s="18"/>
    </row>
    <row r="48" spans="2:21" s="17" customFormat="1" ht="42" customHeight="1" x14ac:dyDescent="0.2">
      <c r="B48" s="1"/>
      <c r="C48" s="1"/>
      <c r="D48" s="1"/>
      <c r="E48" s="1"/>
      <c r="F48" s="1"/>
      <c r="G48" s="1"/>
      <c r="H48" s="1"/>
      <c r="I48" s="1"/>
      <c r="J48" s="23"/>
      <c r="K48" s="1"/>
      <c r="L48" s="1"/>
      <c r="M48" s="1"/>
      <c r="N48" s="1"/>
      <c r="O48" s="1"/>
      <c r="P48" s="1"/>
      <c r="Q48" s="1"/>
      <c r="R48" s="18"/>
      <c r="S48" s="18"/>
      <c r="T48" s="18"/>
      <c r="U48" s="18"/>
    </row>
    <row r="49" spans="10:24" x14ac:dyDescent="0.2">
      <c r="J49" s="3"/>
      <c r="R49" s="18"/>
    </row>
    <row r="50" spans="10:24" x14ac:dyDescent="0.2">
      <c r="J50" s="3"/>
    </row>
    <row r="51" spans="10:24" ht="23.25" customHeight="1" x14ac:dyDescent="0.2">
      <c r="J51" s="2"/>
      <c r="X51" s="1">
        <f>SUM(X18:X50)</f>
        <v>0</v>
      </c>
    </row>
    <row r="52" spans="10:24" ht="29.25" customHeight="1" x14ac:dyDescent="0.2">
      <c r="J52" s="2"/>
      <c r="X52" s="1">
        <f>X16+X51</f>
        <v>0</v>
      </c>
    </row>
    <row r="53" spans="10:24" ht="29.25" customHeight="1" x14ac:dyDescent="0.2">
      <c r="J53" s="2"/>
    </row>
    <row r="54" spans="10:24" ht="39.75" customHeight="1" x14ac:dyDescent="0.2">
      <c r="J54" s="2"/>
    </row>
  </sheetData>
  <mergeCells count="51">
    <mergeCell ref="K28:K32"/>
    <mergeCell ref="E19:G19"/>
    <mergeCell ref="B20:G20"/>
    <mergeCell ref="B22:I22"/>
    <mergeCell ref="K26:K27"/>
    <mergeCell ref="G23:G24"/>
    <mergeCell ref="H23:H24"/>
    <mergeCell ref="I23:I24"/>
    <mergeCell ref="B23:B24"/>
    <mergeCell ref="C23:C24"/>
    <mergeCell ref="D23:D24"/>
    <mergeCell ref="E23:E24"/>
    <mergeCell ref="F23:F24"/>
    <mergeCell ref="K23:O23"/>
    <mergeCell ref="K24:L25"/>
    <mergeCell ref="N24:N25"/>
    <mergeCell ref="M1:P1"/>
    <mergeCell ref="K2:N2"/>
    <mergeCell ref="P4:P5"/>
    <mergeCell ref="K11:R11"/>
    <mergeCell ref="M12:M13"/>
    <mergeCell ref="N12:N13"/>
    <mergeCell ref="K12:L13"/>
    <mergeCell ref="O12:O13"/>
    <mergeCell ref="P12:P13"/>
    <mergeCell ref="Q12:Q13"/>
    <mergeCell ref="R12:R13"/>
    <mergeCell ref="M24:M25"/>
    <mergeCell ref="K15:K18"/>
    <mergeCell ref="O24:O25"/>
    <mergeCell ref="K3:P3"/>
    <mergeCell ref="B4:B5"/>
    <mergeCell ref="C4:G4"/>
    <mergeCell ref="K4:K5"/>
    <mergeCell ref="L4:L5"/>
    <mergeCell ref="N4:N5"/>
    <mergeCell ref="O4:O5"/>
    <mergeCell ref="B18:G18"/>
    <mergeCell ref="B37:I37"/>
    <mergeCell ref="B36:I36"/>
    <mergeCell ref="B3:H3"/>
    <mergeCell ref="E28:E29"/>
    <mergeCell ref="F28:F29"/>
    <mergeCell ref="G28:G29"/>
    <mergeCell ref="H28:H29"/>
    <mergeCell ref="I28:I29"/>
    <mergeCell ref="B28:B29"/>
    <mergeCell ref="C28:C29"/>
    <mergeCell ref="D28:D29"/>
    <mergeCell ref="B34:I34"/>
    <mergeCell ref="B35:I3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8" orientation="landscape" r:id="rId1"/>
  <headerFooter scaleWithDoc="0">
    <oddHeader>&amp;C&amp;"English111 Vivace BT,Regular"&amp;26Supremo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N53"/>
  <sheetViews>
    <sheetView showGridLines="0" zoomScaleNormal="100" zoomScaleSheetLayoutView="100" workbookViewId="0">
      <selection activeCell="J14" sqref="J14:K14"/>
    </sheetView>
  </sheetViews>
  <sheetFormatPr defaultColWidth="8.85546875" defaultRowHeight="12.75" customHeight="1" x14ac:dyDescent="0.25"/>
  <cols>
    <col min="1" max="1" width="9.140625" style="188" customWidth="1"/>
    <col min="2" max="2" width="9.42578125" style="188" customWidth="1"/>
    <col min="3" max="3" width="68" style="188" customWidth="1"/>
    <col min="4" max="5" width="11.42578125" style="188" customWidth="1"/>
    <col min="6" max="6" width="4.140625" style="188" customWidth="1"/>
    <col min="7" max="7" width="42.140625" style="188" customWidth="1"/>
    <col min="8" max="8" width="15.42578125" style="188" customWidth="1"/>
    <col min="9" max="9" width="9.140625" style="188" customWidth="1"/>
    <col min="10" max="11" width="14.42578125" style="188" customWidth="1"/>
    <col min="12" max="13" width="9.140625" style="188" customWidth="1"/>
    <col min="14" max="14" width="10.85546875" style="188" customWidth="1"/>
    <col min="15" max="15" width="8.85546875" style="188" customWidth="1"/>
    <col min="16" max="16384" width="8.85546875" style="188"/>
  </cols>
  <sheetData>
    <row r="1" spans="1:14" ht="6.75" customHeight="1" x14ac:dyDescent="0.2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7"/>
    </row>
    <row r="2" spans="1:14" ht="17.25" customHeight="1" x14ac:dyDescent="0.25">
      <c r="A2" s="189"/>
      <c r="B2" s="482" t="s">
        <v>41</v>
      </c>
      <c r="C2" s="483"/>
      <c r="D2" s="483"/>
      <c r="E2" s="483"/>
      <c r="F2" s="190"/>
      <c r="G2" s="190"/>
      <c r="H2" s="190"/>
      <c r="I2" s="191"/>
      <c r="J2" s="191"/>
      <c r="K2" s="192"/>
      <c r="L2" s="192"/>
      <c r="M2" s="192"/>
      <c r="N2" s="193"/>
    </row>
    <row r="3" spans="1:14" ht="15.75" customHeight="1" x14ac:dyDescent="0.25">
      <c r="A3" s="189"/>
      <c r="B3" s="484" t="s">
        <v>42</v>
      </c>
      <c r="C3" s="485"/>
      <c r="D3" s="485"/>
      <c r="E3" s="485"/>
      <c r="F3" s="190"/>
      <c r="G3" s="484" t="s">
        <v>77</v>
      </c>
      <c r="H3" s="485"/>
      <c r="I3" s="485"/>
      <c r="J3" s="485"/>
      <c r="K3" s="485"/>
      <c r="L3" s="192"/>
      <c r="M3" s="192"/>
      <c r="N3" s="193"/>
    </row>
    <row r="4" spans="1:14" ht="40.5" customHeight="1" x14ac:dyDescent="0.25">
      <c r="A4" s="194"/>
      <c r="B4" s="486" t="s">
        <v>40</v>
      </c>
      <c r="C4" s="488" t="s">
        <v>43</v>
      </c>
      <c r="D4" s="488" t="s">
        <v>172</v>
      </c>
      <c r="E4" s="490"/>
      <c r="F4" s="195"/>
      <c r="G4" s="491" t="s">
        <v>38</v>
      </c>
      <c r="H4" s="492"/>
      <c r="I4" s="493"/>
      <c r="J4" s="491" t="s">
        <v>37</v>
      </c>
      <c r="K4" s="500"/>
      <c r="L4" s="196"/>
      <c r="M4" s="192"/>
      <c r="N4" s="193"/>
    </row>
    <row r="5" spans="1:14" ht="13.5" customHeight="1" thickBot="1" x14ac:dyDescent="0.3">
      <c r="A5" s="194"/>
      <c r="B5" s="487"/>
      <c r="C5" s="489"/>
      <c r="D5" s="197">
        <v>0.03</v>
      </c>
      <c r="E5" s="198">
        <v>2</v>
      </c>
      <c r="F5" s="195"/>
      <c r="G5" s="494"/>
      <c r="H5" s="495"/>
      <c r="I5" s="496"/>
      <c r="J5" s="501"/>
      <c r="K5" s="502"/>
      <c r="L5" s="196"/>
      <c r="M5" s="192"/>
      <c r="N5" s="193"/>
    </row>
    <row r="6" spans="1:14" ht="12.75" customHeight="1" x14ac:dyDescent="0.25">
      <c r="A6" s="194"/>
      <c r="B6" s="469" t="s">
        <v>79</v>
      </c>
      <c r="C6" s="470"/>
      <c r="D6" s="469" t="s">
        <v>30</v>
      </c>
      <c r="E6" s="470"/>
      <c r="F6" s="195"/>
      <c r="G6" s="497" t="s">
        <v>31</v>
      </c>
      <c r="H6" s="498"/>
      <c r="I6" s="499"/>
      <c r="J6" s="497" t="s">
        <v>30</v>
      </c>
      <c r="K6" s="503"/>
      <c r="L6" s="196"/>
      <c r="M6" s="192"/>
      <c r="N6" s="193"/>
    </row>
    <row r="7" spans="1:14" ht="12.75" customHeight="1" x14ac:dyDescent="0.25">
      <c r="A7" s="194"/>
      <c r="B7" s="200">
        <v>1</v>
      </c>
      <c r="C7" s="201" t="s">
        <v>173</v>
      </c>
      <c r="D7" s="454">
        <v>0.2</v>
      </c>
      <c r="E7" s="454"/>
      <c r="F7" s="195"/>
      <c r="G7" s="480" t="s">
        <v>81</v>
      </c>
      <c r="H7" s="481"/>
      <c r="I7" s="199" t="s">
        <v>29</v>
      </c>
      <c r="J7" s="464">
        <v>0.05</v>
      </c>
      <c r="K7" s="465"/>
      <c r="L7" s="196"/>
      <c r="M7" s="192"/>
      <c r="N7" s="193"/>
    </row>
    <row r="8" spans="1:14" ht="12.75" customHeight="1" x14ac:dyDescent="0.25">
      <c r="A8" s="194"/>
      <c r="B8" s="200">
        <v>2</v>
      </c>
      <c r="C8" s="201" t="s">
        <v>174</v>
      </c>
      <c r="D8" s="454">
        <v>1.4999999999999999E-2</v>
      </c>
      <c r="E8" s="454"/>
      <c r="F8" s="195"/>
      <c r="G8" s="480" t="s">
        <v>83</v>
      </c>
      <c r="H8" s="481"/>
      <c r="I8" s="199" t="s">
        <v>28</v>
      </c>
      <c r="J8" s="464">
        <v>7.0000000000000007E-2</v>
      </c>
      <c r="K8" s="465"/>
      <c r="L8" s="196"/>
      <c r="M8" s="192"/>
      <c r="N8" s="193"/>
    </row>
    <row r="9" spans="1:14" ht="12.75" customHeight="1" x14ac:dyDescent="0.25">
      <c r="A9" s="194"/>
      <c r="B9" s="200">
        <v>3</v>
      </c>
      <c r="C9" s="201" t="s">
        <v>84</v>
      </c>
      <c r="D9" s="454">
        <v>0.01</v>
      </c>
      <c r="E9" s="454"/>
      <c r="F9" s="195"/>
      <c r="G9" s="202" t="s">
        <v>85</v>
      </c>
      <c r="H9" s="203"/>
      <c r="I9" s="199" t="s">
        <v>27</v>
      </c>
      <c r="J9" s="464">
        <f>SUM(J10:J13)</f>
        <v>8.6500000000000007E-2</v>
      </c>
      <c r="K9" s="465"/>
      <c r="L9" s="196"/>
      <c r="M9" s="192"/>
      <c r="N9" s="193"/>
    </row>
    <row r="10" spans="1:14" ht="12.75" customHeight="1" x14ac:dyDescent="0.25">
      <c r="A10" s="194"/>
      <c r="B10" s="200">
        <v>4</v>
      </c>
      <c r="C10" s="201" t="s">
        <v>86</v>
      </c>
      <c r="D10" s="454">
        <v>2E-3</v>
      </c>
      <c r="E10" s="454"/>
      <c r="F10" s="195"/>
      <c r="G10" s="196"/>
      <c r="H10" s="204"/>
      <c r="I10" s="199" t="s">
        <v>26</v>
      </c>
      <c r="J10" s="449">
        <v>0.05</v>
      </c>
      <c r="K10" s="450"/>
      <c r="L10" s="196"/>
      <c r="M10" s="192"/>
      <c r="N10" s="193"/>
    </row>
    <row r="11" spans="1:14" ht="12.75" customHeight="1" x14ac:dyDescent="0.25">
      <c r="A11" s="194"/>
      <c r="B11" s="200">
        <v>5</v>
      </c>
      <c r="C11" s="201" t="s">
        <v>87</v>
      </c>
      <c r="D11" s="454">
        <v>2.5000000000000001E-2</v>
      </c>
      <c r="E11" s="454"/>
      <c r="F11" s="195"/>
      <c r="G11" s="196"/>
      <c r="H11" s="204"/>
      <c r="I11" s="199" t="s">
        <v>25</v>
      </c>
      <c r="J11" s="449">
        <v>0.03</v>
      </c>
      <c r="K11" s="450"/>
      <c r="L11" s="196"/>
      <c r="M11" s="192"/>
      <c r="N11" s="193"/>
    </row>
    <row r="12" spans="1:14" ht="12.75" customHeight="1" x14ac:dyDescent="0.25">
      <c r="A12" s="194"/>
      <c r="B12" s="200">
        <v>6</v>
      </c>
      <c r="C12" s="201" t="s">
        <v>88</v>
      </c>
      <c r="D12" s="454">
        <v>0.08</v>
      </c>
      <c r="E12" s="454"/>
      <c r="F12" s="195"/>
      <c r="G12" s="196"/>
      <c r="H12" s="204"/>
      <c r="I12" s="199" t="s">
        <v>24</v>
      </c>
      <c r="J12" s="449">
        <v>6.4999999999999997E-3</v>
      </c>
      <c r="K12" s="450"/>
      <c r="L12" s="196"/>
      <c r="M12" s="192"/>
      <c r="N12" s="193"/>
    </row>
    <row r="13" spans="1:14" ht="12.75" customHeight="1" x14ac:dyDescent="0.25">
      <c r="A13" s="194"/>
      <c r="B13" s="200">
        <v>7</v>
      </c>
      <c r="C13" s="201" t="s">
        <v>44</v>
      </c>
      <c r="D13" s="454">
        <f>D5*E5</f>
        <v>0.06</v>
      </c>
      <c r="E13" s="454"/>
      <c r="F13" s="195"/>
      <c r="G13" s="205"/>
      <c r="H13" s="206"/>
      <c r="I13" s="199" t="s">
        <v>89</v>
      </c>
      <c r="J13" s="449">
        <v>0</v>
      </c>
      <c r="K13" s="450"/>
      <c r="L13" s="196"/>
      <c r="M13" s="192"/>
      <c r="N13" s="193"/>
    </row>
    <row r="14" spans="1:14" ht="13.5" customHeight="1" x14ac:dyDescent="0.25">
      <c r="A14" s="194"/>
      <c r="B14" s="200">
        <v>8</v>
      </c>
      <c r="C14" s="201" t="s">
        <v>90</v>
      </c>
      <c r="D14" s="454">
        <v>6.0000000000000001E-3</v>
      </c>
      <c r="E14" s="454"/>
      <c r="F14" s="195"/>
      <c r="G14" s="461" t="s">
        <v>91</v>
      </c>
      <c r="H14" s="462"/>
      <c r="I14" s="463"/>
      <c r="J14" s="466">
        <f>(((1+J7)*(1+J8))/(1-J9))-1</f>
        <v>0.22988505747126453</v>
      </c>
      <c r="K14" s="467"/>
      <c r="L14" s="196"/>
      <c r="M14" s="192"/>
      <c r="N14" s="193"/>
    </row>
    <row r="15" spans="1:14" ht="13.5" customHeight="1" thickBot="1" x14ac:dyDescent="0.3">
      <c r="A15" s="194"/>
      <c r="B15" s="441" t="s">
        <v>92</v>
      </c>
      <c r="C15" s="442"/>
      <c r="D15" s="471">
        <f>SUM(D7:D14)</f>
        <v>0.39800000000000008</v>
      </c>
      <c r="E15" s="471"/>
      <c r="F15" s="208"/>
      <c r="G15" s="478" t="s">
        <v>93</v>
      </c>
      <c r="H15" s="479"/>
      <c r="I15" s="209"/>
      <c r="J15" s="209"/>
      <c r="K15" s="210"/>
      <c r="L15" s="196"/>
      <c r="M15" s="192"/>
      <c r="N15" s="193"/>
    </row>
    <row r="16" spans="1:14" ht="12.75" customHeight="1" x14ac:dyDescent="0.25">
      <c r="A16" s="194"/>
      <c r="B16" s="469" t="s">
        <v>94</v>
      </c>
      <c r="C16" s="470"/>
      <c r="D16" s="469" t="s">
        <v>30</v>
      </c>
      <c r="E16" s="470"/>
      <c r="F16" s="195"/>
      <c r="G16" s="196"/>
      <c r="H16" s="192"/>
      <c r="I16" s="192"/>
      <c r="J16" s="192"/>
      <c r="K16" s="204"/>
      <c r="L16" s="196"/>
      <c r="M16" s="192"/>
      <c r="N16" s="193"/>
    </row>
    <row r="17" spans="1:14" ht="27.75" customHeight="1" x14ac:dyDescent="0.25">
      <c r="A17" s="194"/>
      <c r="B17" s="211"/>
      <c r="C17" s="212"/>
      <c r="D17" s="213" t="s">
        <v>175</v>
      </c>
      <c r="E17" s="214" t="s">
        <v>176</v>
      </c>
      <c r="F17" s="195"/>
      <c r="G17" s="196"/>
      <c r="H17" s="192"/>
      <c r="I17" s="192"/>
      <c r="J17" s="192"/>
      <c r="K17" s="204"/>
      <c r="L17" s="196"/>
      <c r="M17" s="192"/>
      <c r="N17" s="193"/>
    </row>
    <row r="18" spans="1:14" ht="12.75" customHeight="1" x14ac:dyDescent="0.25">
      <c r="A18" s="194"/>
      <c r="B18" s="200">
        <v>9</v>
      </c>
      <c r="C18" s="201" t="s">
        <v>177</v>
      </c>
      <c r="D18" s="215">
        <f>ROUND(1/12,4)</f>
        <v>8.3299999999999999E-2</v>
      </c>
      <c r="E18" s="215">
        <f>ROUND(1/11,4)</f>
        <v>9.0899999999999995E-2</v>
      </c>
      <c r="F18" s="195"/>
      <c r="G18" s="216" t="s">
        <v>23</v>
      </c>
      <c r="H18" s="217"/>
      <c r="I18" s="192"/>
      <c r="J18" s="192"/>
      <c r="K18" s="204"/>
      <c r="L18" s="196"/>
      <c r="M18" s="192"/>
      <c r="N18" s="193"/>
    </row>
    <row r="19" spans="1:14" ht="12.75" customHeight="1" x14ac:dyDescent="0.25">
      <c r="A19" s="194"/>
      <c r="B19" s="200">
        <v>10</v>
      </c>
      <c r="C19" s="201" t="s">
        <v>178</v>
      </c>
      <c r="D19" s="215">
        <f>ROUND(1/12,4)</f>
        <v>8.3299999999999999E-2</v>
      </c>
      <c r="E19" s="215">
        <f>ROUND(1/11,4)</f>
        <v>9.0899999999999995E-2</v>
      </c>
      <c r="F19" s="195"/>
      <c r="G19" s="218" t="s">
        <v>97</v>
      </c>
      <c r="H19" s="192"/>
      <c r="I19" s="192"/>
      <c r="J19" s="192"/>
      <c r="K19" s="204"/>
      <c r="L19" s="196"/>
      <c r="M19" s="192"/>
      <c r="N19" s="193"/>
    </row>
    <row r="20" spans="1:14" ht="12.75" customHeight="1" x14ac:dyDescent="0.25">
      <c r="A20" s="194"/>
      <c r="B20" s="200">
        <v>11</v>
      </c>
      <c r="C20" s="201" t="s">
        <v>179</v>
      </c>
      <c r="D20" s="215">
        <f>ROUND(1/3/12,4)</f>
        <v>2.7799999999999998E-2</v>
      </c>
      <c r="E20" s="215">
        <f>ROUND(1/3/11,4)</f>
        <v>3.0300000000000001E-2</v>
      </c>
      <c r="F20" s="195"/>
      <c r="G20" s="218" t="s">
        <v>99</v>
      </c>
      <c r="H20" s="192"/>
      <c r="I20" s="192"/>
      <c r="J20" s="192"/>
      <c r="K20" s="204"/>
      <c r="L20" s="196"/>
      <c r="M20" s="192"/>
      <c r="N20" s="193"/>
    </row>
    <row r="21" spans="1:14" ht="13.5" customHeight="1" thickBot="1" x14ac:dyDescent="0.3">
      <c r="A21" s="194"/>
      <c r="B21" s="200">
        <v>12</v>
      </c>
      <c r="C21" s="219" t="s">
        <v>180</v>
      </c>
      <c r="D21" s="457">
        <v>1.3899999999999999E-2</v>
      </c>
      <c r="E21" s="458"/>
      <c r="F21" s="195"/>
      <c r="G21" s="220" t="s">
        <v>101</v>
      </c>
      <c r="H21" s="221"/>
      <c r="I21" s="221"/>
      <c r="J21" s="221"/>
      <c r="K21" s="222"/>
      <c r="L21" s="196"/>
      <c r="M21" s="192"/>
      <c r="N21" s="193"/>
    </row>
    <row r="22" spans="1:14" ht="13.5" customHeight="1" thickBot="1" x14ac:dyDescent="0.3">
      <c r="A22" s="194"/>
      <c r="B22" s="200">
        <v>13</v>
      </c>
      <c r="C22" s="223" t="s">
        <v>181</v>
      </c>
      <c r="D22" s="457">
        <v>2.0000000000000001E-4</v>
      </c>
      <c r="E22" s="458"/>
      <c r="F22" s="195"/>
      <c r="G22" s="224" t="s">
        <v>103</v>
      </c>
      <c r="H22" s="225"/>
      <c r="I22" s="225"/>
      <c r="J22" s="225"/>
      <c r="K22" s="226"/>
      <c r="L22" s="196"/>
      <c r="M22" s="192"/>
      <c r="N22" s="193"/>
    </row>
    <row r="23" spans="1:14" ht="13.5" customHeight="1" x14ac:dyDescent="0.25">
      <c r="A23" s="194"/>
      <c r="B23" s="200">
        <v>14</v>
      </c>
      <c r="C23" s="201" t="s">
        <v>182</v>
      </c>
      <c r="D23" s="457">
        <v>2.8E-3</v>
      </c>
      <c r="E23" s="458"/>
      <c r="F23" s="195"/>
      <c r="G23" s="227" t="s">
        <v>105</v>
      </c>
      <c r="H23" s="228"/>
      <c r="I23" s="229"/>
      <c r="J23" s="229"/>
      <c r="K23" s="230"/>
      <c r="L23" s="196"/>
      <c r="M23" s="192"/>
      <c r="N23" s="193"/>
    </row>
    <row r="24" spans="1:14" ht="13.5" customHeight="1" x14ac:dyDescent="0.25">
      <c r="A24" s="194"/>
      <c r="B24" s="200">
        <v>15</v>
      </c>
      <c r="C24" s="201" t="s">
        <v>183</v>
      </c>
      <c r="D24" s="457">
        <v>2.9999999999999997E-4</v>
      </c>
      <c r="E24" s="458"/>
      <c r="F24" s="231"/>
      <c r="G24" s="232"/>
      <c r="H24" s="232"/>
      <c r="I24" s="233"/>
      <c r="J24" s="233"/>
      <c r="K24" s="233"/>
      <c r="L24" s="192"/>
      <c r="M24" s="192"/>
      <c r="N24" s="193"/>
    </row>
    <row r="25" spans="1:14" ht="13.5" customHeight="1" thickBot="1" x14ac:dyDescent="0.3">
      <c r="A25" s="194"/>
      <c r="B25" s="441" t="s">
        <v>107</v>
      </c>
      <c r="C25" s="442"/>
      <c r="D25" s="234">
        <f>SUM(D18:D20)+SUM(D21:E24)</f>
        <v>0.21159999999999998</v>
      </c>
      <c r="E25" s="234">
        <f>SUM(E18:E20)+SUM(D21:E24)</f>
        <v>0.22929999999999998</v>
      </c>
      <c r="F25" s="235"/>
      <c r="G25" s="459" t="s">
        <v>184</v>
      </c>
      <c r="H25" s="460"/>
      <c r="I25" s="460"/>
      <c r="J25" s="460"/>
      <c r="K25" s="460"/>
      <c r="L25" s="192"/>
      <c r="M25" s="192"/>
      <c r="N25" s="193"/>
    </row>
    <row r="26" spans="1:14" ht="25.5" customHeight="1" x14ac:dyDescent="0.25">
      <c r="A26" s="194"/>
      <c r="B26" s="469" t="s">
        <v>108</v>
      </c>
      <c r="C26" s="470"/>
      <c r="D26" s="469" t="s">
        <v>30</v>
      </c>
      <c r="E26" s="470"/>
      <c r="F26" s="208"/>
      <c r="G26" s="451" t="s">
        <v>40</v>
      </c>
      <c r="H26" s="452"/>
      <c r="I26" s="453"/>
      <c r="J26" s="213" t="s">
        <v>175</v>
      </c>
      <c r="K26" s="214" t="s">
        <v>176</v>
      </c>
      <c r="L26" s="196"/>
      <c r="M26" s="192"/>
      <c r="N26" s="193"/>
    </row>
    <row r="27" spans="1:14" ht="12.75" customHeight="1" x14ac:dyDescent="0.25">
      <c r="A27" s="194"/>
      <c r="B27" s="200">
        <v>16</v>
      </c>
      <c r="C27" s="223" t="s">
        <v>185</v>
      </c>
      <c r="D27" s="454">
        <v>4.1999999999999997E-3</v>
      </c>
      <c r="E27" s="454"/>
      <c r="F27" s="195"/>
      <c r="G27" s="236" t="s">
        <v>79</v>
      </c>
      <c r="H27" s="237"/>
      <c r="I27" s="238"/>
      <c r="J27" s="239">
        <f>D15</f>
        <v>0.39800000000000008</v>
      </c>
      <c r="K27" s="239">
        <f>D15</f>
        <v>0.39800000000000008</v>
      </c>
      <c r="L27" s="196"/>
      <c r="M27" s="192"/>
      <c r="N27" s="193"/>
    </row>
    <row r="28" spans="1:14" ht="12.75" customHeight="1" x14ac:dyDescent="0.25">
      <c r="A28" s="194"/>
      <c r="B28" s="200">
        <v>17</v>
      </c>
      <c r="C28" s="223" t="s">
        <v>186</v>
      </c>
      <c r="D28" s="454">
        <v>4.0000000000000002E-4</v>
      </c>
      <c r="E28" s="454"/>
      <c r="F28" s="195"/>
      <c r="G28" s="240" t="s">
        <v>43</v>
      </c>
      <c r="H28" s="241"/>
      <c r="I28" s="242"/>
      <c r="J28" s="455" t="s">
        <v>30</v>
      </c>
      <c r="K28" s="456"/>
      <c r="L28" s="196"/>
      <c r="M28" s="192"/>
      <c r="N28" s="193"/>
    </row>
    <row r="29" spans="1:14" ht="12.75" customHeight="1" x14ac:dyDescent="0.25">
      <c r="A29" s="194"/>
      <c r="B29" s="200">
        <v>18</v>
      </c>
      <c r="C29" s="201" t="s">
        <v>187</v>
      </c>
      <c r="D29" s="454">
        <v>8.0000000000000004E-4</v>
      </c>
      <c r="E29" s="454"/>
      <c r="F29" s="195"/>
      <c r="G29" s="236" t="s">
        <v>188</v>
      </c>
      <c r="H29" s="237"/>
      <c r="I29" s="238"/>
      <c r="J29" s="239">
        <f>D18</f>
        <v>8.3299999999999999E-2</v>
      </c>
      <c r="K29" s="239">
        <f>E18</f>
        <v>9.0899999999999995E-2</v>
      </c>
      <c r="L29" s="196"/>
      <c r="M29" s="192"/>
      <c r="N29" s="193"/>
    </row>
    <row r="30" spans="1:14" ht="12.75" customHeight="1" x14ac:dyDescent="0.25">
      <c r="A30" s="194"/>
      <c r="B30" s="200">
        <v>19</v>
      </c>
      <c r="C30" s="201" t="s">
        <v>189</v>
      </c>
      <c r="D30" s="454">
        <v>2.8799999999999999E-2</v>
      </c>
      <c r="E30" s="454"/>
      <c r="F30" s="195"/>
      <c r="G30" s="236" t="s">
        <v>152</v>
      </c>
      <c r="H30" s="237"/>
      <c r="I30" s="238"/>
      <c r="J30" s="239">
        <f>D19</f>
        <v>8.3299999999999999E-2</v>
      </c>
      <c r="K30" s="239">
        <f>E19</f>
        <v>9.0899999999999995E-2</v>
      </c>
      <c r="L30" s="196"/>
      <c r="M30" s="192"/>
      <c r="N30" s="193"/>
    </row>
    <row r="31" spans="1:14" ht="13.5" customHeight="1" thickBot="1" x14ac:dyDescent="0.3">
      <c r="A31" s="194"/>
      <c r="B31" s="441" t="s">
        <v>113</v>
      </c>
      <c r="C31" s="442"/>
      <c r="D31" s="471">
        <f>SUM(D27:D30)</f>
        <v>3.4200000000000001E-2</v>
      </c>
      <c r="E31" s="471"/>
      <c r="F31" s="195"/>
      <c r="G31" s="472" t="s">
        <v>190</v>
      </c>
      <c r="H31" s="473"/>
      <c r="I31" s="474"/>
      <c r="J31" s="447">
        <f>SUM(J29:J30)</f>
        <v>0.1666</v>
      </c>
      <c r="K31" s="447">
        <f>SUM(K29:K30)</f>
        <v>0.18179999999999999</v>
      </c>
      <c r="L31" s="196"/>
      <c r="M31" s="192"/>
      <c r="N31" s="193"/>
    </row>
    <row r="32" spans="1:14" ht="12.75" customHeight="1" x14ac:dyDescent="0.25">
      <c r="A32" s="194"/>
      <c r="B32" s="469" t="s">
        <v>114</v>
      </c>
      <c r="C32" s="470"/>
      <c r="D32" s="469" t="s">
        <v>30</v>
      </c>
      <c r="E32" s="470"/>
      <c r="F32" s="195"/>
      <c r="G32" s="475"/>
      <c r="H32" s="476"/>
      <c r="I32" s="477"/>
      <c r="J32" s="448"/>
      <c r="K32" s="468"/>
      <c r="L32" s="196"/>
      <c r="M32" s="192"/>
      <c r="N32" s="193"/>
    </row>
    <row r="33" spans="1:14" ht="12.75" customHeight="1" x14ac:dyDescent="0.25">
      <c r="A33" s="194"/>
      <c r="B33" s="200">
        <v>20</v>
      </c>
      <c r="C33" s="223" t="s">
        <v>45</v>
      </c>
      <c r="D33" s="243">
        <f>D15*(D25-D20)</f>
        <v>7.3152400000000006E-2</v>
      </c>
      <c r="E33" s="243">
        <f>D15*(E25-E20)</f>
        <v>7.9202000000000009E-2</v>
      </c>
      <c r="F33" s="195"/>
      <c r="G33" s="236" t="s">
        <v>191</v>
      </c>
      <c r="H33" s="237"/>
      <c r="I33" s="238"/>
      <c r="J33" s="239">
        <f>J27*J31</f>
        <v>6.6306800000000013E-2</v>
      </c>
      <c r="K33" s="239">
        <f>K27*K31</f>
        <v>7.2356400000000015E-2</v>
      </c>
      <c r="L33" s="196"/>
      <c r="M33" s="192"/>
      <c r="N33" s="193"/>
    </row>
    <row r="34" spans="1:14" ht="13.5" customHeight="1" thickBot="1" x14ac:dyDescent="0.3">
      <c r="A34" s="194"/>
      <c r="B34" s="441" t="s">
        <v>115</v>
      </c>
      <c r="C34" s="442"/>
      <c r="D34" s="244">
        <f>SUM(D33)</f>
        <v>7.3152400000000006E-2</v>
      </c>
      <c r="E34" s="244">
        <f>SUM(E33)</f>
        <v>7.9202000000000009E-2</v>
      </c>
      <c r="F34" s="195"/>
      <c r="G34" s="236" t="s">
        <v>192</v>
      </c>
      <c r="H34" s="237"/>
      <c r="I34" s="238"/>
      <c r="J34" s="239">
        <f>D20</f>
        <v>2.7799999999999998E-2</v>
      </c>
      <c r="K34" s="239">
        <f>E20</f>
        <v>3.0300000000000001E-2</v>
      </c>
      <c r="L34" s="196"/>
      <c r="M34" s="192"/>
      <c r="N34" s="193"/>
    </row>
    <row r="35" spans="1:14" ht="24" customHeight="1" x14ac:dyDescent="0.25">
      <c r="A35" s="194"/>
      <c r="B35" s="443" t="s">
        <v>116</v>
      </c>
      <c r="C35" s="444"/>
      <c r="D35" s="245" t="s">
        <v>175</v>
      </c>
      <c r="E35" s="246" t="s">
        <v>176</v>
      </c>
      <c r="F35" s="195"/>
      <c r="G35" s="236" t="s">
        <v>193</v>
      </c>
      <c r="H35" s="237"/>
      <c r="I35" s="238"/>
      <c r="J35" s="239">
        <f>D30</f>
        <v>2.8799999999999999E-2</v>
      </c>
      <c r="K35" s="239">
        <f>D30</f>
        <v>2.8799999999999999E-2</v>
      </c>
      <c r="L35" s="196"/>
      <c r="M35" s="192"/>
      <c r="N35" s="193"/>
    </row>
    <row r="36" spans="1:14" ht="13.5" customHeight="1" x14ac:dyDescent="0.25">
      <c r="A36" s="194"/>
      <c r="B36" s="445"/>
      <c r="C36" s="446"/>
      <c r="D36" s="207">
        <f>(D15+D25+D31+D34)</f>
        <v>0.71695240000000005</v>
      </c>
      <c r="E36" s="207">
        <f>(D15+E25+D31+E34)</f>
        <v>0.74070200000000008</v>
      </c>
      <c r="F36" s="195"/>
      <c r="G36" s="247" t="s">
        <v>194</v>
      </c>
      <c r="H36" s="248"/>
      <c r="I36" s="249"/>
      <c r="J36" s="250">
        <f>SUM(J31:J35)</f>
        <v>0.28950680000000001</v>
      </c>
      <c r="K36" s="250">
        <f>SUM(K31:K35)</f>
        <v>0.31325639999999999</v>
      </c>
      <c r="L36" s="196"/>
      <c r="M36" s="192"/>
      <c r="N36" s="193"/>
    </row>
    <row r="37" spans="1:14" ht="12.75" customHeight="1" x14ac:dyDescent="0.25">
      <c r="A37" s="189"/>
      <c r="B37" s="251" t="s">
        <v>117</v>
      </c>
      <c r="C37" s="232"/>
      <c r="D37" s="232"/>
      <c r="E37" s="232"/>
      <c r="F37" s="190"/>
      <c r="G37" s="233"/>
      <c r="H37" s="233"/>
      <c r="I37" s="233"/>
      <c r="J37" s="233"/>
      <c r="K37" s="233"/>
      <c r="L37" s="192"/>
      <c r="M37" s="192"/>
      <c r="N37" s="193"/>
    </row>
    <row r="38" spans="1:14" ht="12.75" customHeight="1" x14ac:dyDescent="0.25">
      <c r="A38" s="189"/>
      <c r="B38" s="252" t="s">
        <v>46</v>
      </c>
      <c r="C38" s="190"/>
      <c r="D38" s="190"/>
      <c r="E38" s="190"/>
      <c r="F38" s="192"/>
      <c r="G38" s="192"/>
      <c r="H38" s="192"/>
      <c r="I38" s="192"/>
      <c r="J38" s="192"/>
      <c r="K38" s="192"/>
      <c r="L38" s="192"/>
      <c r="M38" s="192"/>
      <c r="N38" s="193"/>
    </row>
    <row r="39" spans="1:14" ht="12.75" customHeight="1" x14ac:dyDescent="0.25">
      <c r="A39" s="189"/>
      <c r="B39" s="252" t="s">
        <v>195</v>
      </c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3"/>
    </row>
    <row r="40" spans="1:14" ht="12.75" customHeight="1" x14ac:dyDescent="0.25">
      <c r="A40" s="189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3"/>
    </row>
    <row r="41" spans="1:14" ht="12.75" customHeight="1" x14ac:dyDescent="0.25">
      <c r="A41" s="189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3"/>
    </row>
    <row r="42" spans="1:14" ht="12.75" customHeight="1" x14ac:dyDescent="0.25">
      <c r="A42" s="189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3"/>
    </row>
    <row r="43" spans="1:14" ht="12.75" customHeight="1" x14ac:dyDescent="0.25">
      <c r="A43" s="189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3"/>
    </row>
    <row r="44" spans="1:14" ht="12.75" customHeight="1" x14ac:dyDescent="0.25">
      <c r="A44" s="189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3"/>
    </row>
    <row r="45" spans="1:14" ht="13.5" customHeight="1" x14ac:dyDescent="0.25">
      <c r="A45" s="189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3"/>
    </row>
    <row r="46" spans="1:14" ht="12.75" customHeight="1" x14ac:dyDescent="0.25">
      <c r="A46" s="189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3"/>
    </row>
    <row r="47" spans="1:14" ht="12.75" customHeight="1" x14ac:dyDescent="0.25">
      <c r="A47" s="189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3"/>
    </row>
    <row r="48" spans="1:14" ht="12.75" customHeight="1" x14ac:dyDescent="0.25">
      <c r="A48" s="189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3"/>
    </row>
    <row r="49" spans="1:14" ht="12.75" customHeight="1" x14ac:dyDescent="0.25">
      <c r="A49" s="189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3"/>
    </row>
    <row r="50" spans="1:14" ht="12.75" customHeight="1" x14ac:dyDescent="0.25">
      <c r="A50" s="189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3"/>
    </row>
    <row r="51" spans="1:14" ht="12.75" customHeight="1" x14ac:dyDescent="0.25">
      <c r="A51" s="189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3"/>
    </row>
    <row r="52" spans="1:14" ht="12.75" customHeight="1" x14ac:dyDescent="0.25">
      <c r="A52" s="189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3"/>
    </row>
    <row r="53" spans="1:14" ht="12.75" customHeight="1" x14ac:dyDescent="0.25">
      <c r="A53" s="189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3"/>
    </row>
  </sheetData>
  <mergeCells count="59">
    <mergeCell ref="D8:E8"/>
    <mergeCell ref="G8:H8"/>
    <mergeCell ref="B2:E2"/>
    <mergeCell ref="B3:E3"/>
    <mergeCell ref="G3:K3"/>
    <mergeCell ref="B4:B5"/>
    <mergeCell ref="C4:C5"/>
    <mergeCell ref="D4:E4"/>
    <mergeCell ref="G4:I5"/>
    <mergeCell ref="B6:C6"/>
    <mergeCell ref="D6:E6"/>
    <mergeCell ref="G6:I6"/>
    <mergeCell ref="D7:E7"/>
    <mergeCell ref="G7:H7"/>
    <mergeCell ref="J4:K5"/>
    <mergeCell ref="J6:K6"/>
    <mergeCell ref="D14:E14"/>
    <mergeCell ref="D9:E9"/>
    <mergeCell ref="D10:E10"/>
    <mergeCell ref="D11:E11"/>
    <mergeCell ref="D12:E12"/>
    <mergeCell ref="D13:E13"/>
    <mergeCell ref="B15:C15"/>
    <mergeCell ref="D15:E15"/>
    <mergeCell ref="G15:H15"/>
    <mergeCell ref="B16:C16"/>
    <mergeCell ref="D16:E16"/>
    <mergeCell ref="J7:K7"/>
    <mergeCell ref="J8:K8"/>
    <mergeCell ref="J14:K14"/>
    <mergeCell ref="K31:K32"/>
    <mergeCell ref="B32:C32"/>
    <mergeCell ref="D32:E32"/>
    <mergeCell ref="J11:K11"/>
    <mergeCell ref="J10:K10"/>
    <mergeCell ref="J9:K9"/>
    <mergeCell ref="D29:E29"/>
    <mergeCell ref="D30:E30"/>
    <mergeCell ref="B31:C31"/>
    <mergeCell ref="D31:E31"/>
    <mergeCell ref="G31:I32"/>
    <mergeCell ref="B26:C26"/>
    <mergeCell ref="D26:E26"/>
    <mergeCell ref="B34:C34"/>
    <mergeCell ref="B35:C36"/>
    <mergeCell ref="J31:J32"/>
    <mergeCell ref="J13:K13"/>
    <mergeCell ref="J12:K12"/>
    <mergeCell ref="G26:I26"/>
    <mergeCell ref="D27:E27"/>
    <mergeCell ref="D28:E28"/>
    <mergeCell ref="J28:K28"/>
    <mergeCell ref="D21:E21"/>
    <mergeCell ref="D22:E22"/>
    <mergeCell ref="D23:E23"/>
    <mergeCell ref="D24:E24"/>
    <mergeCell ref="B25:C25"/>
    <mergeCell ref="G25:K25"/>
    <mergeCell ref="G14:I14"/>
  </mergeCells>
  <pageMargins left="0.78740200000000005" right="0.78740200000000005" top="0.98425200000000002" bottom="0.98425200000000002" header="0.51181100000000002" footer="0.51181100000000002"/>
  <pageSetup scale="5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3:L36"/>
  <sheetViews>
    <sheetView showGridLines="0" zoomScale="110" zoomScaleNormal="110" zoomScaleSheetLayoutView="90" zoomScalePageLayoutView="40" workbookViewId="0">
      <selection activeCell="A3" sqref="A3"/>
    </sheetView>
  </sheetViews>
  <sheetFormatPr defaultRowHeight="12.75" x14ac:dyDescent="0.2"/>
  <cols>
    <col min="1" max="1" width="9.140625" style="1"/>
    <col min="2" max="2" width="11.28515625" style="1" customWidth="1"/>
    <col min="3" max="3" width="18.28515625" style="1" customWidth="1"/>
    <col min="4" max="4" width="32.42578125" style="1" customWidth="1"/>
    <col min="5" max="5" width="13" style="1" customWidth="1"/>
    <col min="6" max="6" width="22.140625" style="1" customWidth="1"/>
    <col min="7" max="7" width="14.140625" style="1" customWidth="1"/>
    <col min="8" max="8" width="14.85546875" style="1" customWidth="1"/>
    <col min="9" max="9" width="39.85546875" style="1" customWidth="1"/>
    <col min="10" max="12" width="12.7109375" style="1" customWidth="1"/>
    <col min="13" max="13" width="12" style="1" bestFit="1" customWidth="1"/>
    <col min="14" max="252" width="9.140625" style="1"/>
    <col min="253" max="254" width="0" style="1" hidden="1" customWidth="1"/>
    <col min="255" max="255" width="12.140625" style="1" customWidth="1"/>
    <col min="256" max="256" width="33.85546875" style="1" customWidth="1"/>
    <col min="257" max="257" width="11.42578125" style="1" customWidth="1"/>
    <col min="258" max="259" width="0.140625" style="1" customWidth="1"/>
    <col min="260" max="262" width="12.7109375" style="1" customWidth="1"/>
    <col min="263" max="263" width="35.28515625" style="1" customWidth="1"/>
    <col min="264" max="268" width="12.7109375" style="1" customWidth="1"/>
    <col min="269" max="269" width="12" style="1" bestFit="1" customWidth="1"/>
    <col min="270" max="508" width="9.140625" style="1"/>
    <col min="509" max="510" width="0" style="1" hidden="1" customWidth="1"/>
    <col min="511" max="511" width="12.140625" style="1" customWidth="1"/>
    <col min="512" max="512" width="33.85546875" style="1" customWidth="1"/>
    <col min="513" max="513" width="11.42578125" style="1" customWidth="1"/>
    <col min="514" max="515" width="0.140625" style="1" customWidth="1"/>
    <col min="516" max="518" width="12.7109375" style="1" customWidth="1"/>
    <col min="519" max="519" width="35.28515625" style="1" customWidth="1"/>
    <col min="520" max="524" width="12.7109375" style="1" customWidth="1"/>
    <col min="525" max="525" width="12" style="1" bestFit="1" customWidth="1"/>
    <col min="526" max="764" width="9.140625" style="1"/>
    <col min="765" max="766" width="0" style="1" hidden="1" customWidth="1"/>
    <col min="767" max="767" width="12.140625" style="1" customWidth="1"/>
    <col min="768" max="768" width="33.85546875" style="1" customWidth="1"/>
    <col min="769" max="769" width="11.42578125" style="1" customWidth="1"/>
    <col min="770" max="771" width="0.140625" style="1" customWidth="1"/>
    <col min="772" max="774" width="12.7109375" style="1" customWidth="1"/>
    <col min="775" max="775" width="35.28515625" style="1" customWidth="1"/>
    <col min="776" max="780" width="12.7109375" style="1" customWidth="1"/>
    <col min="781" max="781" width="12" style="1" bestFit="1" customWidth="1"/>
    <col min="782" max="1020" width="9.140625" style="1"/>
    <col min="1021" max="1022" width="0" style="1" hidden="1" customWidth="1"/>
    <col min="1023" max="1023" width="12.140625" style="1" customWidth="1"/>
    <col min="1024" max="1024" width="33.85546875" style="1" customWidth="1"/>
    <col min="1025" max="1025" width="11.42578125" style="1" customWidth="1"/>
    <col min="1026" max="1027" width="0.140625" style="1" customWidth="1"/>
    <col min="1028" max="1030" width="12.7109375" style="1" customWidth="1"/>
    <col min="1031" max="1031" width="35.28515625" style="1" customWidth="1"/>
    <col min="1032" max="1036" width="12.7109375" style="1" customWidth="1"/>
    <col min="1037" max="1037" width="12" style="1" bestFit="1" customWidth="1"/>
    <col min="1038" max="1276" width="9.140625" style="1"/>
    <col min="1277" max="1278" width="0" style="1" hidden="1" customWidth="1"/>
    <col min="1279" max="1279" width="12.140625" style="1" customWidth="1"/>
    <col min="1280" max="1280" width="33.85546875" style="1" customWidth="1"/>
    <col min="1281" max="1281" width="11.42578125" style="1" customWidth="1"/>
    <col min="1282" max="1283" width="0.140625" style="1" customWidth="1"/>
    <col min="1284" max="1286" width="12.7109375" style="1" customWidth="1"/>
    <col min="1287" max="1287" width="35.28515625" style="1" customWidth="1"/>
    <col min="1288" max="1292" width="12.7109375" style="1" customWidth="1"/>
    <col min="1293" max="1293" width="12" style="1" bestFit="1" customWidth="1"/>
    <col min="1294" max="1532" width="9.140625" style="1"/>
    <col min="1533" max="1534" width="0" style="1" hidden="1" customWidth="1"/>
    <col min="1535" max="1535" width="12.140625" style="1" customWidth="1"/>
    <col min="1536" max="1536" width="33.85546875" style="1" customWidth="1"/>
    <col min="1537" max="1537" width="11.42578125" style="1" customWidth="1"/>
    <col min="1538" max="1539" width="0.140625" style="1" customWidth="1"/>
    <col min="1540" max="1542" width="12.7109375" style="1" customWidth="1"/>
    <col min="1543" max="1543" width="35.28515625" style="1" customWidth="1"/>
    <col min="1544" max="1548" width="12.7109375" style="1" customWidth="1"/>
    <col min="1549" max="1549" width="12" style="1" bestFit="1" customWidth="1"/>
    <col min="1550" max="1788" width="9.140625" style="1"/>
    <col min="1789" max="1790" width="0" style="1" hidden="1" customWidth="1"/>
    <col min="1791" max="1791" width="12.140625" style="1" customWidth="1"/>
    <col min="1792" max="1792" width="33.85546875" style="1" customWidth="1"/>
    <col min="1793" max="1793" width="11.42578125" style="1" customWidth="1"/>
    <col min="1794" max="1795" width="0.140625" style="1" customWidth="1"/>
    <col min="1796" max="1798" width="12.7109375" style="1" customWidth="1"/>
    <col min="1799" max="1799" width="35.28515625" style="1" customWidth="1"/>
    <col min="1800" max="1804" width="12.7109375" style="1" customWidth="1"/>
    <col min="1805" max="1805" width="12" style="1" bestFit="1" customWidth="1"/>
    <col min="1806" max="2044" width="9.140625" style="1"/>
    <col min="2045" max="2046" width="0" style="1" hidden="1" customWidth="1"/>
    <col min="2047" max="2047" width="12.140625" style="1" customWidth="1"/>
    <col min="2048" max="2048" width="33.85546875" style="1" customWidth="1"/>
    <col min="2049" max="2049" width="11.42578125" style="1" customWidth="1"/>
    <col min="2050" max="2051" width="0.140625" style="1" customWidth="1"/>
    <col min="2052" max="2054" width="12.7109375" style="1" customWidth="1"/>
    <col min="2055" max="2055" width="35.28515625" style="1" customWidth="1"/>
    <col min="2056" max="2060" width="12.7109375" style="1" customWidth="1"/>
    <col min="2061" max="2061" width="12" style="1" bestFit="1" customWidth="1"/>
    <col min="2062" max="2300" width="9.140625" style="1"/>
    <col min="2301" max="2302" width="0" style="1" hidden="1" customWidth="1"/>
    <col min="2303" max="2303" width="12.140625" style="1" customWidth="1"/>
    <col min="2304" max="2304" width="33.85546875" style="1" customWidth="1"/>
    <col min="2305" max="2305" width="11.42578125" style="1" customWidth="1"/>
    <col min="2306" max="2307" width="0.140625" style="1" customWidth="1"/>
    <col min="2308" max="2310" width="12.7109375" style="1" customWidth="1"/>
    <col min="2311" max="2311" width="35.28515625" style="1" customWidth="1"/>
    <col min="2312" max="2316" width="12.7109375" style="1" customWidth="1"/>
    <col min="2317" max="2317" width="12" style="1" bestFit="1" customWidth="1"/>
    <col min="2318" max="2556" width="9.140625" style="1"/>
    <col min="2557" max="2558" width="0" style="1" hidden="1" customWidth="1"/>
    <col min="2559" max="2559" width="12.140625" style="1" customWidth="1"/>
    <col min="2560" max="2560" width="33.85546875" style="1" customWidth="1"/>
    <col min="2561" max="2561" width="11.42578125" style="1" customWidth="1"/>
    <col min="2562" max="2563" width="0.140625" style="1" customWidth="1"/>
    <col min="2564" max="2566" width="12.7109375" style="1" customWidth="1"/>
    <col min="2567" max="2567" width="35.28515625" style="1" customWidth="1"/>
    <col min="2568" max="2572" width="12.7109375" style="1" customWidth="1"/>
    <col min="2573" max="2573" width="12" style="1" bestFit="1" customWidth="1"/>
    <col min="2574" max="2812" width="9.140625" style="1"/>
    <col min="2813" max="2814" width="0" style="1" hidden="1" customWidth="1"/>
    <col min="2815" max="2815" width="12.140625" style="1" customWidth="1"/>
    <col min="2816" max="2816" width="33.85546875" style="1" customWidth="1"/>
    <col min="2817" max="2817" width="11.42578125" style="1" customWidth="1"/>
    <col min="2818" max="2819" width="0.140625" style="1" customWidth="1"/>
    <col min="2820" max="2822" width="12.7109375" style="1" customWidth="1"/>
    <col min="2823" max="2823" width="35.28515625" style="1" customWidth="1"/>
    <col min="2824" max="2828" width="12.7109375" style="1" customWidth="1"/>
    <col min="2829" max="2829" width="12" style="1" bestFit="1" customWidth="1"/>
    <col min="2830" max="3068" width="9.140625" style="1"/>
    <col min="3069" max="3070" width="0" style="1" hidden="1" customWidth="1"/>
    <col min="3071" max="3071" width="12.140625" style="1" customWidth="1"/>
    <col min="3072" max="3072" width="33.85546875" style="1" customWidth="1"/>
    <col min="3073" max="3073" width="11.42578125" style="1" customWidth="1"/>
    <col min="3074" max="3075" width="0.140625" style="1" customWidth="1"/>
    <col min="3076" max="3078" width="12.7109375" style="1" customWidth="1"/>
    <col min="3079" max="3079" width="35.28515625" style="1" customWidth="1"/>
    <col min="3080" max="3084" width="12.7109375" style="1" customWidth="1"/>
    <col min="3085" max="3085" width="12" style="1" bestFit="1" customWidth="1"/>
    <col min="3086" max="3324" width="9.140625" style="1"/>
    <col min="3325" max="3326" width="0" style="1" hidden="1" customWidth="1"/>
    <col min="3327" max="3327" width="12.140625" style="1" customWidth="1"/>
    <col min="3328" max="3328" width="33.85546875" style="1" customWidth="1"/>
    <col min="3329" max="3329" width="11.42578125" style="1" customWidth="1"/>
    <col min="3330" max="3331" width="0.140625" style="1" customWidth="1"/>
    <col min="3332" max="3334" width="12.7109375" style="1" customWidth="1"/>
    <col min="3335" max="3335" width="35.28515625" style="1" customWidth="1"/>
    <col min="3336" max="3340" width="12.7109375" style="1" customWidth="1"/>
    <col min="3341" max="3341" width="12" style="1" bestFit="1" customWidth="1"/>
    <col min="3342" max="3580" width="9.140625" style="1"/>
    <col min="3581" max="3582" width="0" style="1" hidden="1" customWidth="1"/>
    <col min="3583" max="3583" width="12.140625" style="1" customWidth="1"/>
    <col min="3584" max="3584" width="33.85546875" style="1" customWidth="1"/>
    <col min="3585" max="3585" width="11.42578125" style="1" customWidth="1"/>
    <col min="3586" max="3587" width="0.140625" style="1" customWidth="1"/>
    <col min="3588" max="3590" width="12.7109375" style="1" customWidth="1"/>
    <col min="3591" max="3591" width="35.28515625" style="1" customWidth="1"/>
    <col min="3592" max="3596" width="12.7109375" style="1" customWidth="1"/>
    <col min="3597" max="3597" width="12" style="1" bestFit="1" customWidth="1"/>
    <col min="3598" max="3836" width="9.140625" style="1"/>
    <col min="3837" max="3838" width="0" style="1" hidden="1" customWidth="1"/>
    <col min="3839" max="3839" width="12.140625" style="1" customWidth="1"/>
    <col min="3840" max="3840" width="33.85546875" style="1" customWidth="1"/>
    <col min="3841" max="3841" width="11.42578125" style="1" customWidth="1"/>
    <col min="3842" max="3843" width="0.140625" style="1" customWidth="1"/>
    <col min="3844" max="3846" width="12.7109375" style="1" customWidth="1"/>
    <col min="3847" max="3847" width="35.28515625" style="1" customWidth="1"/>
    <col min="3848" max="3852" width="12.7109375" style="1" customWidth="1"/>
    <col min="3853" max="3853" width="12" style="1" bestFit="1" customWidth="1"/>
    <col min="3854" max="4092" width="9.140625" style="1"/>
    <col min="4093" max="4094" width="0" style="1" hidden="1" customWidth="1"/>
    <col min="4095" max="4095" width="12.140625" style="1" customWidth="1"/>
    <col min="4096" max="4096" width="33.85546875" style="1" customWidth="1"/>
    <col min="4097" max="4097" width="11.42578125" style="1" customWidth="1"/>
    <col min="4098" max="4099" width="0.140625" style="1" customWidth="1"/>
    <col min="4100" max="4102" width="12.7109375" style="1" customWidth="1"/>
    <col min="4103" max="4103" width="35.28515625" style="1" customWidth="1"/>
    <col min="4104" max="4108" width="12.7109375" style="1" customWidth="1"/>
    <col min="4109" max="4109" width="12" style="1" bestFit="1" customWidth="1"/>
    <col min="4110" max="4348" width="9.140625" style="1"/>
    <col min="4349" max="4350" width="0" style="1" hidden="1" customWidth="1"/>
    <col min="4351" max="4351" width="12.140625" style="1" customWidth="1"/>
    <col min="4352" max="4352" width="33.85546875" style="1" customWidth="1"/>
    <col min="4353" max="4353" width="11.42578125" style="1" customWidth="1"/>
    <col min="4354" max="4355" width="0.140625" style="1" customWidth="1"/>
    <col min="4356" max="4358" width="12.7109375" style="1" customWidth="1"/>
    <col min="4359" max="4359" width="35.28515625" style="1" customWidth="1"/>
    <col min="4360" max="4364" width="12.7109375" style="1" customWidth="1"/>
    <col min="4365" max="4365" width="12" style="1" bestFit="1" customWidth="1"/>
    <col min="4366" max="4604" width="9.140625" style="1"/>
    <col min="4605" max="4606" width="0" style="1" hidden="1" customWidth="1"/>
    <col min="4607" max="4607" width="12.140625" style="1" customWidth="1"/>
    <col min="4608" max="4608" width="33.85546875" style="1" customWidth="1"/>
    <col min="4609" max="4609" width="11.42578125" style="1" customWidth="1"/>
    <col min="4610" max="4611" width="0.140625" style="1" customWidth="1"/>
    <col min="4612" max="4614" width="12.7109375" style="1" customWidth="1"/>
    <col min="4615" max="4615" width="35.28515625" style="1" customWidth="1"/>
    <col min="4616" max="4620" width="12.7109375" style="1" customWidth="1"/>
    <col min="4621" max="4621" width="12" style="1" bestFit="1" customWidth="1"/>
    <col min="4622" max="4860" width="9.140625" style="1"/>
    <col min="4861" max="4862" width="0" style="1" hidden="1" customWidth="1"/>
    <col min="4863" max="4863" width="12.140625" style="1" customWidth="1"/>
    <col min="4864" max="4864" width="33.85546875" style="1" customWidth="1"/>
    <col min="4865" max="4865" width="11.42578125" style="1" customWidth="1"/>
    <col min="4866" max="4867" width="0.140625" style="1" customWidth="1"/>
    <col min="4868" max="4870" width="12.7109375" style="1" customWidth="1"/>
    <col min="4871" max="4871" width="35.28515625" style="1" customWidth="1"/>
    <col min="4872" max="4876" width="12.7109375" style="1" customWidth="1"/>
    <col min="4877" max="4877" width="12" style="1" bestFit="1" customWidth="1"/>
    <col min="4878" max="5116" width="9.140625" style="1"/>
    <col min="5117" max="5118" width="0" style="1" hidden="1" customWidth="1"/>
    <col min="5119" max="5119" width="12.140625" style="1" customWidth="1"/>
    <col min="5120" max="5120" width="33.85546875" style="1" customWidth="1"/>
    <col min="5121" max="5121" width="11.42578125" style="1" customWidth="1"/>
    <col min="5122" max="5123" width="0.140625" style="1" customWidth="1"/>
    <col min="5124" max="5126" width="12.7109375" style="1" customWidth="1"/>
    <col min="5127" max="5127" width="35.28515625" style="1" customWidth="1"/>
    <col min="5128" max="5132" width="12.7109375" style="1" customWidth="1"/>
    <col min="5133" max="5133" width="12" style="1" bestFit="1" customWidth="1"/>
    <col min="5134" max="5372" width="9.140625" style="1"/>
    <col min="5373" max="5374" width="0" style="1" hidden="1" customWidth="1"/>
    <col min="5375" max="5375" width="12.140625" style="1" customWidth="1"/>
    <col min="5376" max="5376" width="33.85546875" style="1" customWidth="1"/>
    <col min="5377" max="5377" width="11.42578125" style="1" customWidth="1"/>
    <col min="5378" max="5379" width="0.140625" style="1" customWidth="1"/>
    <col min="5380" max="5382" width="12.7109375" style="1" customWidth="1"/>
    <col min="5383" max="5383" width="35.28515625" style="1" customWidth="1"/>
    <col min="5384" max="5388" width="12.7109375" style="1" customWidth="1"/>
    <col min="5389" max="5389" width="12" style="1" bestFit="1" customWidth="1"/>
    <col min="5390" max="5628" width="9.140625" style="1"/>
    <col min="5629" max="5630" width="0" style="1" hidden="1" customWidth="1"/>
    <col min="5631" max="5631" width="12.140625" style="1" customWidth="1"/>
    <col min="5632" max="5632" width="33.85546875" style="1" customWidth="1"/>
    <col min="5633" max="5633" width="11.42578125" style="1" customWidth="1"/>
    <col min="5634" max="5635" width="0.140625" style="1" customWidth="1"/>
    <col min="5636" max="5638" width="12.7109375" style="1" customWidth="1"/>
    <col min="5639" max="5639" width="35.28515625" style="1" customWidth="1"/>
    <col min="5640" max="5644" width="12.7109375" style="1" customWidth="1"/>
    <col min="5645" max="5645" width="12" style="1" bestFit="1" customWidth="1"/>
    <col min="5646" max="5884" width="9.140625" style="1"/>
    <col min="5885" max="5886" width="0" style="1" hidden="1" customWidth="1"/>
    <col min="5887" max="5887" width="12.140625" style="1" customWidth="1"/>
    <col min="5888" max="5888" width="33.85546875" style="1" customWidth="1"/>
    <col min="5889" max="5889" width="11.42578125" style="1" customWidth="1"/>
    <col min="5890" max="5891" width="0.140625" style="1" customWidth="1"/>
    <col min="5892" max="5894" width="12.7109375" style="1" customWidth="1"/>
    <col min="5895" max="5895" width="35.28515625" style="1" customWidth="1"/>
    <col min="5896" max="5900" width="12.7109375" style="1" customWidth="1"/>
    <col min="5901" max="5901" width="12" style="1" bestFit="1" customWidth="1"/>
    <col min="5902" max="6140" width="9.140625" style="1"/>
    <col min="6141" max="6142" width="0" style="1" hidden="1" customWidth="1"/>
    <col min="6143" max="6143" width="12.140625" style="1" customWidth="1"/>
    <col min="6144" max="6144" width="33.85546875" style="1" customWidth="1"/>
    <col min="6145" max="6145" width="11.42578125" style="1" customWidth="1"/>
    <col min="6146" max="6147" width="0.140625" style="1" customWidth="1"/>
    <col min="6148" max="6150" width="12.7109375" style="1" customWidth="1"/>
    <col min="6151" max="6151" width="35.28515625" style="1" customWidth="1"/>
    <col min="6152" max="6156" width="12.7109375" style="1" customWidth="1"/>
    <col min="6157" max="6157" width="12" style="1" bestFit="1" customWidth="1"/>
    <col min="6158" max="6396" width="9.140625" style="1"/>
    <col min="6397" max="6398" width="0" style="1" hidden="1" customWidth="1"/>
    <col min="6399" max="6399" width="12.140625" style="1" customWidth="1"/>
    <col min="6400" max="6400" width="33.85546875" style="1" customWidth="1"/>
    <col min="6401" max="6401" width="11.42578125" style="1" customWidth="1"/>
    <col min="6402" max="6403" width="0.140625" style="1" customWidth="1"/>
    <col min="6404" max="6406" width="12.7109375" style="1" customWidth="1"/>
    <col min="6407" max="6407" width="35.28515625" style="1" customWidth="1"/>
    <col min="6408" max="6412" width="12.7109375" style="1" customWidth="1"/>
    <col min="6413" max="6413" width="12" style="1" bestFit="1" customWidth="1"/>
    <col min="6414" max="6652" width="9.140625" style="1"/>
    <col min="6653" max="6654" width="0" style="1" hidden="1" customWidth="1"/>
    <col min="6655" max="6655" width="12.140625" style="1" customWidth="1"/>
    <col min="6656" max="6656" width="33.85546875" style="1" customWidth="1"/>
    <col min="6657" max="6657" width="11.42578125" style="1" customWidth="1"/>
    <col min="6658" max="6659" width="0.140625" style="1" customWidth="1"/>
    <col min="6660" max="6662" width="12.7109375" style="1" customWidth="1"/>
    <col min="6663" max="6663" width="35.28515625" style="1" customWidth="1"/>
    <col min="6664" max="6668" width="12.7109375" style="1" customWidth="1"/>
    <col min="6669" max="6669" width="12" style="1" bestFit="1" customWidth="1"/>
    <col min="6670" max="6908" width="9.140625" style="1"/>
    <col min="6909" max="6910" width="0" style="1" hidden="1" customWidth="1"/>
    <col min="6911" max="6911" width="12.140625" style="1" customWidth="1"/>
    <col min="6912" max="6912" width="33.85546875" style="1" customWidth="1"/>
    <col min="6913" max="6913" width="11.42578125" style="1" customWidth="1"/>
    <col min="6914" max="6915" width="0.140625" style="1" customWidth="1"/>
    <col min="6916" max="6918" width="12.7109375" style="1" customWidth="1"/>
    <col min="6919" max="6919" width="35.28515625" style="1" customWidth="1"/>
    <col min="6920" max="6924" width="12.7109375" style="1" customWidth="1"/>
    <col min="6925" max="6925" width="12" style="1" bestFit="1" customWidth="1"/>
    <col min="6926" max="7164" width="9.140625" style="1"/>
    <col min="7165" max="7166" width="0" style="1" hidden="1" customWidth="1"/>
    <col min="7167" max="7167" width="12.140625" style="1" customWidth="1"/>
    <col min="7168" max="7168" width="33.85546875" style="1" customWidth="1"/>
    <col min="7169" max="7169" width="11.42578125" style="1" customWidth="1"/>
    <col min="7170" max="7171" width="0.140625" style="1" customWidth="1"/>
    <col min="7172" max="7174" width="12.7109375" style="1" customWidth="1"/>
    <col min="7175" max="7175" width="35.28515625" style="1" customWidth="1"/>
    <col min="7176" max="7180" width="12.7109375" style="1" customWidth="1"/>
    <col min="7181" max="7181" width="12" style="1" bestFit="1" customWidth="1"/>
    <col min="7182" max="7420" width="9.140625" style="1"/>
    <col min="7421" max="7422" width="0" style="1" hidden="1" customWidth="1"/>
    <col min="7423" max="7423" width="12.140625" style="1" customWidth="1"/>
    <col min="7424" max="7424" width="33.85546875" style="1" customWidth="1"/>
    <col min="7425" max="7425" width="11.42578125" style="1" customWidth="1"/>
    <col min="7426" max="7427" width="0.140625" style="1" customWidth="1"/>
    <col min="7428" max="7430" width="12.7109375" style="1" customWidth="1"/>
    <col min="7431" max="7431" width="35.28515625" style="1" customWidth="1"/>
    <col min="7432" max="7436" width="12.7109375" style="1" customWidth="1"/>
    <col min="7437" max="7437" width="12" style="1" bestFit="1" customWidth="1"/>
    <col min="7438" max="7676" width="9.140625" style="1"/>
    <col min="7677" max="7678" width="0" style="1" hidden="1" customWidth="1"/>
    <col min="7679" max="7679" width="12.140625" style="1" customWidth="1"/>
    <col min="7680" max="7680" width="33.85546875" style="1" customWidth="1"/>
    <col min="7681" max="7681" width="11.42578125" style="1" customWidth="1"/>
    <col min="7682" max="7683" width="0.140625" style="1" customWidth="1"/>
    <col min="7684" max="7686" width="12.7109375" style="1" customWidth="1"/>
    <col min="7687" max="7687" width="35.28515625" style="1" customWidth="1"/>
    <col min="7688" max="7692" width="12.7109375" style="1" customWidth="1"/>
    <col min="7693" max="7693" width="12" style="1" bestFit="1" customWidth="1"/>
    <col min="7694" max="7932" width="9.140625" style="1"/>
    <col min="7933" max="7934" width="0" style="1" hidden="1" customWidth="1"/>
    <col min="7935" max="7935" width="12.140625" style="1" customWidth="1"/>
    <col min="7936" max="7936" width="33.85546875" style="1" customWidth="1"/>
    <col min="7937" max="7937" width="11.42578125" style="1" customWidth="1"/>
    <col min="7938" max="7939" width="0.140625" style="1" customWidth="1"/>
    <col min="7940" max="7942" width="12.7109375" style="1" customWidth="1"/>
    <col min="7943" max="7943" width="35.28515625" style="1" customWidth="1"/>
    <col min="7944" max="7948" width="12.7109375" style="1" customWidth="1"/>
    <col min="7949" max="7949" width="12" style="1" bestFit="1" customWidth="1"/>
    <col min="7950" max="8188" width="9.140625" style="1"/>
    <col min="8189" max="8190" width="0" style="1" hidden="1" customWidth="1"/>
    <col min="8191" max="8191" width="12.140625" style="1" customWidth="1"/>
    <col min="8192" max="8192" width="33.85546875" style="1" customWidth="1"/>
    <col min="8193" max="8193" width="11.42578125" style="1" customWidth="1"/>
    <col min="8194" max="8195" width="0.140625" style="1" customWidth="1"/>
    <col min="8196" max="8198" width="12.7109375" style="1" customWidth="1"/>
    <col min="8199" max="8199" width="35.28515625" style="1" customWidth="1"/>
    <col min="8200" max="8204" width="12.7109375" style="1" customWidth="1"/>
    <col min="8205" max="8205" width="12" style="1" bestFit="1" customWidth="1"/>
    <col min="8206" max="8444" width="9.140625" style="1"/>
    <col min="8445" max="8446" width="0" style="1" hidden="1" customWidth="1"/>
    <col min="8447" max="8447" width="12.140625" style="1" customWidth="1"/>
    <col min="8448" max="8448" width="33.85546875" style="1" customWidth="1"/>
    <col min="8449" max="8449" width="11.42578125" style="1" customWidth="1"/>
    <col min="8450" max="8451" width="0.140625" style="1" customWidth="1"/>
    <col min="8452" max="8454" width="12.7109375" style="1" customWidth="1"/>
    <col min="8455" max="8455" width="35.28515625" style="1" customWidth="1"/>
    <col min="8456" max="8460" width="12.7109375" style="1" customWidth="1"/>
    <col min="8461" max="8461" width="12" style="1" bestFit="1" customWidth="1"/>
    <col min="8462" max="8700" width="9.140625" style="1"/>
    <col min="8701" max="8702" width="0" style="1" hidden="1" customWidth="1"/>
    <col min="8703" max="8703" width="12.140625" style="1" customWidth="1"/>
    <col min="8704" max="8704" width="33.85546875" style="1" customWidth="1"/>
    <col min="8705" max="8705" width="11.42578125" style="1" customWidth="1"/>
    <col min="8706" max="8707" width="0.140625" style="1" customWidth="1"/>
    <col min="8708" max="8710" width="12.7109375" style="1" customWidth="1"/>
    <col min="8711" max="8711" width="35.28515625" style="1" customWidth="1"/>
    <col min="8712" max="8716" width="12.7109375" style="1" customWidth="1"/>
    <col min="8717" max="8717" width="12" style="1" bestFit="1" customWidth="1"/>
    <col min="8718" max="8956" width="9.140625" style="1"/>
    <col min="8957" max="8958" width="0" style="1" hidden="1" customWidth="1"/>
    <col min="8959" max="8959" width="12.140625" style="1" customWidth="1"/>
    <col min="8960" max="8960" width="33.85546875" style="1" customWidth="1"/>
    <col min="8961" max="8961" width="11.42578125" style="1" customWidth="1"/>
    <col min="8962" max="8963" width="0.140625" style="1" customWidth="1"/>
    <col min="8964" max="8966" width="12.7109375" style="1" customWidth="1"/>
    <col min="8967" max="8967" width="35.28515625" style="1" customWidth="1"/>
    <col min="8968" max="8972" width="12.7109375" style="1" customWidth="1"/>
    <col min="8973" max="8973" width="12" style="1" bestFit="1" customWidth="1"/>
    <col min="8974" max="9212" width="9.140625" style="1"/>
    <col min="9213" max="9214" width="0" style="1" hidden="1" customWidth="1"/>
    <col min="9215" max="9215" width="12.140625" style="1" customWidth="1"/>
    <col min="9216" max="9216" width="33.85546875" style="1" customWidth="1"/>
    <col min="9217" max="9217" width="11.42578125" style="1" customWidth="1"/>
    <col min="9218" max="9219" width="0.140625" style="1" customWidth="1"/>
    <col min="9220" max="9222" width="12.7109375" style="1" customWidth="1"/>
    <col min="9223" max="9223" width="35.28515625" style="1" customWidth="1"/>
    <col min="9224" max="9228" width="12.7109375" style="1" customWidth="1"/>
    <col min="9229" max="9229" width="12" style="1" bestFit="1" customWidth="1"/>
    <col min="9230" max="9468" width="9.140625" style="1"/>
    <col min="9469" max="9470" width="0" style="1" hidden="1" customWidth="1"/>
    <col min="9471" max="9471" width="12.140625" style="1" customWidth="1"/>
    <col min="9472" max="9472" width="33.85546875" style="1" customWidth="1"/>
    <col min="9473" max="9473" width="11.42578125" style="1" customWidth="1"/>
    <col min="9474" max="9475" width="0.140625" style="1" customWidth="1"/>
    <col min="9476" max="9478" width="12.7109375" style="1" customWidth="1"/>
    <col min="9479" max="9479" width="35.28515625" style="1" customWidth="1"/>
    <col min="9480" max="9484" width="12.7109375" style="1" customWidth="1"/>
    <col min="9485" max="9485" width="12" style="1" bestFit="1" customWidth="1"/>
    <col min="9486" max="9724" width="9.140625" style="1"/>
    <col min="9725" max="9726" width="0" style="1" hidden="1" customWidth="1"/>
    <col min="9727" max="9727" width="12.140625" style="1" customWidth="1"/>
    <col min="9728" max="9728" width="33.85546875" style="1" customWidth="1"/>
    <col min="9729" max="9729" width="11.42578125" style="1" customWidth="1"/>
    <col min="9730" max="9731" width="0.140625" style="1" customWidth="1"/>
    <col min="9732" max="9734" width="12.7109375" style="1" customWidth="1"/>
    <col min="9735" max="9735" width="35.28515625" style="1" customWidth="1"/>
    <col min="9736" max="9740" width="12.7109375" style="1" customWidth="1"/>
    <col min="9741" max="9741" width="12" style="1" bestFit="1" customWidth="1"/>
    <col min="9742" max="9980" width="9.140625" style="1"/>
    <col min="9981" max="9982" width="0" style="1" hidden="1" customWidth="1"/>
    <col min="9983" max="9983" width="12.140625" style="1" customWidth="1"/>
    <col min="9984" max="9984" width="33.85546875" style="1" customWidth="1"/>
    <col min="9985" max="9985" width="11.42578125" style="1" customWidth="1"/>
    <col min="9986" max="9987" width="0.140625" style="1" customWidth="1"/>
    <col min="9988" max="9990" width="12.7109375" style="1" customWidth="1"/>
    <col min="9991" max="9991" width="35.28515625" style="1" customWidth="1"/>
    <col min="9992" max="9996" width="12.7109375" style="1" customWidth="1"/>
    <col min="9997" max="9997" width="12" style="1" bestFit="1" customWidth="1"/>
    <col min="9998" max="10236" width="9.140625" style="1"/>
    <col min="10237" max="10238" width="0" style="1" hidden="1" customWidth="1"/>
    <col min="10239" max="10239" width="12.140625" style="1" customWidth="1"/>
    <col min="10240" max="10240" width="33.85546875" style="1" customWidth="1"/>
    <col min="10241" max="10241" width="11.42578125" style="1" customWidth="1"/>
    <col min="10242" max="10243" width="0.140625" style="1" customWidth="1"/>
    <col min="10244" max="10246" width="12.7109375" style="1" customWidth="1"/>
    <col min="10247" max="10247" width="35.28515625" style="1" customWidth="1"/>
    <col min="10248" max="10252" width="12.7109375" style="1" customWidth="1"/>
    <col min="10253" max="10253" width="12" style="1" bestFit="1" customWidth="1"/>
    <col min="10254" max="10492" width="9.140625" style="1"/>
    <col min="10493" max="10494" width="0" style="1" hidden="1" customWidth="1"/>
    <col min="10495" max="10495" width="12.140625" style="1" customWidth="1"/>
    <col min="10496" max="10496" width="33.85546875" style="1" customWidth="1"/>
    <col min="10497" max="10497" width="11.42578125" style="1" customWidth="1"/>
    <col min="10498" max="10499" width="0.140625" style="1" customWidth="1"/>
    <col min="10500" max="10502" width="12.7109375" style="1" customWidth="1"/>
    <col min="10503" max="10503" width="35.28515625" style="1" customWidth="1"/>
    <col min="10504" max="10508" width="12.7109375" style="1" customWidth="1"/>
    <col min="10509" max="10509" width="12" style="1" bestFit="1" customWidth="1"/>
    <col min="10510" max="10748" width="9.140625" style="1"/>
    <col min="10749" max="10750" width="0" style="1" hidden="1" customWidth="1"/>
    <col min="10751" max="10751" width="12.140625" style="1" customWidth="1"/>
    <col min="10752" max="10752" width="33.85546875" style="1" customWidth="1"/>
    <col min="10753" max="10753" width="11.42578125" style="1" customWidth="1"/>
    <col min="10754" max="10755" width="0.140625" style="1" customWidth="1"/>
    <col min="10756" max="10758" width="12.7109375" style="1" customWidth="1"/>
    <col min="10759" max="10759" width="35.28515625" style="1" customWidth="1"/>
    <col min="10760" max="10764" width="12.7109375" style="1" customWidth="1"/>
    <col min="10765" max="10765" width="12" style="1" bestFit="1" customWidth="1"/>
    <col min="10766" max="11004" width="9.140625" style="1"/>
    <col min="11005" max="11006" width="0" style="1" hidden="1" customWidth="1"/>
    <col min="11007" max="11007" width="12.140625" style="1" customWidth="1"/>
    <col min="11008" max="11008" width="33.85546875" style="1" customWidth="1"/>
    <col min="11009" max="11009" width="11.42578125" style="1" customWidth="1"/>
    <col min="11010" max="11011" width="0.140625" style="1" customWidth="1"/>
    <col min="11012" max="11014" width="12.7109375" style="1" customWidth="1"/>
    <col min="11015" max="11015" width="35.28515625" style="1" customWidth="1"/>
    <col min="11016" max="11020" width="12.7109375" style="1" customWidth="1"/>
    <col min="11021" max="11021" width="12" style="1" bestFit="1" customWidth="1"/>
    <col min="11022" max="11260" width="9.140625" style="1"/>
    <col min="11261" max="11262" width="0" style="1" hidden="1" customWidth="1"/>
    <col min="11263" max="11263" width="12.140625" style="1" customWidth="1"/>
    <col min="11264" max="11264" width="33.85546875" style="1" customWidth="1"/>
    <col min="11265" max="11265" width="11.42578125" style="1" customWidth="1"/>
    <col min="11266" max="11267" width="0.140625" style="1" customWidth="1"/>
    <col min="11268" max="11270" width="12.7109375" style="1" customWidth="1"/>
    <col min="11271" max="11271" width="35.28515625" style="1" customWidth="1"/>
    <col min="11272" max="11276" width="12.7109375" style="1" customWidth="1"/>
    <col min="11277" max="11277" width="12" style="1" bestFit="1" customWidth="1"/>
    <col min="11278" max="11516" width="9.140625" style="1"/>
    <col min="11517" max="11518" width="0" style="1" hidden="1" customWidth="1"/>
    <col min="11519" max="11519" width="12.140625" style="1" customWidth="1"/>
    <col min="11520" max="11520" width="33.85546875" style="1" customWidth="1"/>
    <col min="11521" max="11521" width="11.42578125" style="1" customWidth="1"/>
    <col min="11522" max="11523" width="0.140625" style="1" customWidth="1"/>
    <col min="11524" max="11526" width="12.7109375" style="1" customWidth="1"/>
    <col min="11527" max="11527" width="35.28515625" style="1" customWidth="1"/>
    <col min="11528" max="11532" width="12.7109375" style="1" customWidth="1"/>
    <col min="11533" max="11533" width="12" style="1" bestFit="1" customWidth="1"/>
    <col min="11534" max="11772" width="9.140625" style="1"/>
    <col min="11773" max="11774" width="0" style="1" hidden="1" customWidth="1"/>
    <col min="11775" max="11775" width="12.140625" style="1" customWidth="1"/>
    <col min="11776" max="11776" width="33.85546875" style="1" customWidth="1"/>
    <col min="11777" max="11777" width="11.42578125" style="1" customWidth="1"/>
    <col min="11778" max="11779" width="0.140625" style="1" customWidth="1"/>
    <col min="11780" max="11782" width="12.7109375" style="1" customWidth="1"/>
    <col min="11783" max="11783" width="35.28515625" style="1" customWidth="1"/>
    <col min="11784" max="11788" width="12.7109375" style="1" customWidth="1"/>
    <col min="11789" max="11789" width="12" style="1" bestFit="1" customWidth="1"/>
    <col min="11790" max="12028" width="9.140625" style="1"/>
    <col min="12029" max="12030" width="0" style="1" hidden="1" customWidth="1"/>
    <col min="12031" max="12031" width="12.140625" style="1" customWidth="1"/>
    <col min="12032" max="12032" width="33.85546875" style="1" customWidth="1"/>
    <col min="12033" max="12033" width="11.42578125" style="1" customWidth="1"/>
    <col min="12034" max="12035" width="0.140625" style="1" customWidth="1"/>
    <col min="12036" max="12038" width="12.7109375" style="1" customWidth="1"/>
    <col min="12039" max="12039" width="35.28515625" style="1" customWidth="1"/>
    <col min="12040" max="12044" width="12.7109375" style="1" customWidth="1"/>
    <col min="12045" max="12045" width="12" style="1" bestFit="1" customWidth="1"/>
    <col min="12046" max="12284" width="9.140625" style="1"/>
    <col min="12285" max="12286" width="0" style="1" hidden="1" customWidth="1"/>
    <col min="12287" max="12287" width="12.140625" style="1" customWidth="1"/>
    <col min="12288" max="12288" width="33.85546875" style="1" customWidth="1"/>
    <col min="12289" max="12289" width="11.42578125" style="1" customWidth="1"/>
    <col min="12290" max="12291" width="0.140625" style="1" customWidth="1"/>
    <col min="12292" max="12294" width="12.7109375" style="1" customWidth="1"/>
    <col min="12295" max="12295" width="35.28515625" style="1" customWidth="1"/>
    <col min="12296" max="12300" width="12.7109375" style="1" customWidth="1"/>
    <col min="12301" max="12301" width="12" style="1" bestFit="1" customWidth="1"/>
    <col min="12302" max="12540" width="9.140625" style="1"/>
    <col min="12541" max="12542" width="0" style="1" hidden="1" customWidth="1"/>
    <col min="12543" max="12543" width="12.140625" style="1" customWidth="1"/>
    <col min="12544" max="12544" width="33.85546875" style="1" customWidth="1"/>
    <col min="12545" max="12545" width="11.42578125" style="1" customWidth="1"/>
    <col min="12546" max="12547" width="0.140625" style="1" customWidth="1"/>
    <col min="12548" max="12550" width="12.7109375" style="1" customWidth="1"/>
    <col min="12551" max="12551" width="35.28515625" style="1" customWidth="1"/>
    <col min="12552" max="12556" width="12.7109375" style="1" customWidth="1"/>
    <col min="12557" max="12557" width="12" style="1" bestFit="1" customWidth="1"/>
    <col min="12558" max="12796" width="9.140625" style="1"/>
    <col min="12797" max="12798" width="0" style="1" hidden="1" customWidth="1"/>
    <col min="12799" max="12799" width="12.140625" style="1" customWidth="1"/>
    <col min="12800" max="12800" width="33.85546875" style="1" customWidth="1"/>
    <col min="12801" max="12801" width="11.42578125" style="1" customWidth="1"/>
    <col min="12802" max="12803" width="0.140625" style="1" customWidth="1"/>
    <col min="12804" max="12806" width="12.7109375" style="1" customWidth="1"/>
    <col min="12807" max="12807" width="35.28515625" style="1" customWidth="1"/>
    <col min="12808" max="12812" width="12.7109375" style="1" customWidth="1"/>
    <col min="12813" max="12813" width="12" style="1" bestFit="1" customWidth="1"/>
    <col min="12814" max="13052" width="9.140625" style="1"/>
    <col min="13053" max="13054" width="0" style="1" hidden="1" customWidth="1"/>
    <col min="13055" max="13055" width="12.140625" style="1" customWidth="1"/>
    <col min="13056" max="13056" width="33.85546875" style="1" customWidth="1"/>
    <col min="13057" max="13057" width="11.42578125" style="1" customWidth="1"/>
    <col min="13058" max="13059" width="0.140625" style="1" customWidth="1"/>
    <col min="13060" max="13062" width="12.7109375" style="1" customWidth="1"/>
    <col min="13063" max="13063" width="35.28515625" style="1" customWidth="1"/>
    <col min="13064" max="13068" width="12.7109375" style="1" customWidth="1"/>
    <col min="13069" max="13069" width="12" style="1" bestFit="1" customWidth="1"/>
    <col min="13070" max="13308" width="9.140625" style="1"/>
    <col min="13309" max="13310" width="0" style="1" hidden="1" customWidth="1"/>
    <col min="13311" max="13311" width="12.140625" style="1" customWidth="1"/>
    <col min="13312" max="13312" width="33.85546875" style="1" customWidth="1"/>
    <col min="13313" max="13313" width="11.42578125" style="1" customWidth="1"/>
    <col min="13314" max="13315" width="0.140625" style="1" customWidth="1"/>
    <col min="13316" max="13318" width="12.7109375" style="1" customWidth="1"/>
    <col min="13319" max="13319" width="35.28515625" style="1" customWidth="1"/>
    <col min="13320" max="13324" width="12.7109375" style="1" customWidth="1"/>
    <col min="13325" max="13325" width="12" style="1" bestFit="1" customWidth="1"/>
    <col min="13326" max="13564" width="9.140625" style="1"/>
    <col min="13565" max="13566" width="0" style="1" hidden="1" customWidth="1"/>
    <col min="13567" max="13567" width="12.140625" style="1" customWidth="1"/>
    <col min="13568" max="13568" width="33.85546875" style="1" customWidth="1"/>
    <col min="13569" max="13569" width="11.42578125" style="1" customWidth="1"/>
    <col min="13570" max="13571" width="0.140625" style="1" customWidth="1"/>
    <col min="13572" max="13574" width="12.7109375" style="1" customWidth="1"/>
    <col min="13575" max="13575" width="35.28515625" style="1" customWidth="1"/>
    <col min="13576" max="13580" width="12.7109375" style="1" customWidth="1"/>
    <col min="13581" max="13581" width="12" style="1" bestFit="1" customWidth="1"/>
    <col min="13582" max="13820" width="9.140625" style="1"/>
    <col min="13821" max="13822" width="0" style="1" hidden="1" customWidth="1"/>
    <col min="13823" max="13823" width="12.140625" style="1" customWidth="1"/>
    <col min="13824" max="13824" width="33.85546875" style="1" customWidth="1"/>
    <col min="13825" max="13825" width="11.42578125" style="1" customWidth="1"/>
    <col min="13826" max="13827" width="0.140625" style="1" customWidth="1"/>
    <col min="13828" max="13830" width="12.7109375" style="1" customWidth="1"/>
    <col min="13831" max="13831" width="35.28515625" style="1" customWidth="1"/>
    <col min="13832" max="13836" width="12.7109375" style="1" customWidth="1"/>
    <col min="13837" max="13837" width="12" style="1" bestFit="1" customWidth="1"/>
    <col min="13838" max="14076" width="9.140625" style="1"/>
    <col min="14077" max="14078" width="0" style="1" hidden="1" customWidth="1"/>
    <col min="14079" max="14079" width="12.140625" style="1" customWidth="1"/>
    <col min="14080" max="14080" width="33.85546875" style="1" customWidth="1"/>
    <col min="14081" max="14081" width="11.42578125" style="1" customWidth="1"/>
    <col min="14082" max="14083" width="0.140625" style="1" customWidth="1"/>
    <col min="14084" max="14086" width="12.7109375" style="1" customWidth="1"/>
    <col min="14087" max="14087" width="35.28515625" style="1" customWidth="1"/>
    <col min="14088" max="14092" width="12.7109375" style="1" customWidth="1"/>
    <col min="14093" max="14093" width="12" style="1" bestFit="1" customWidth="1"/>
    <col min="14094" max="14332" width="9.140625" style="1"/>
    <col min="14333" max="14334" width="0" style="1" hidden="1" customWidth="1"/>
    <col min="14335" max="14335" width="12.140625" style="1" customWidth="1"/>
    <col min="14336" max="14336" width="33.85546875" style="1" customWidth="1"/>
    <col min="14337" max="14337" width="11.42578125" style="1" customWidth="1"/>
    <col min="14338" max="14339" width="0.140625" style="1" customWidth="1"/>
    <col min="14340" max="14342" width="12.7109375" style="1" customWidth="1"/>
    <col min="14343" max="14343" width="35.28515625" style="1" customWidth="1"/>
    <col min="14344" max="14348" width="12.7109375" style="1" customWidth="1"/>
    <col min="14349" max="14349" width="12" style="1" bestFit="1" customWidth="1"/>
    <col min="14350" max="14588" width="9.140625" style="1"/>
    <col min="14589" max="14590" width="0" style="1" hidden="1" customWidth="1"/>
    <col min="14591" max="14591" width="12.140625" style="1" customWidth="1"/>
    <col min="14592" max="14592" width="33.85546875" style="1" customWidth="1"/>
    <col min="14593" max="14593" width="11.42578125" style="1" customWidth="1"/>
    <col min="14594" max="14595" width="0.140625" style="1" customWidth="1"/>
    <col min="14596" max="14598" width="12.7109375" style="1" customWidth="1"/>
    <col min="14599" max="14599" width="35.28515625" style="1" customWidth="1"/>
    <col min="14600" max="14604" width="12.7109375" style="1" customWidth="1"/>
    <col min="14605" max="14605" width="12" style="1" bestFit="1" customWidth="1"/>
    <col min="14606" max="14844" width="9.140625" style="1"/>
    <col min="14845" max="14846" width="0" style="1" hidden="1" customWidth="1"/>
    <col min="14847" max="14847" width="12.140625" style="1" customWidth="1"/>
    <col min="14848" max="14848" width="33.85546875" style="1" customWidth="1"/>
    <col min="14849" max="14849" width="11.42578125" style="1" customWidth="1"/>
    <col min="14850" max="14851" width="0.140625" style="1" customWidth="1"/>
    <col min="14852" max="14854" width="12.7109375" style="1" customWidth="1"/>
    <col min="14855" max="14855" width="35.28515625" style="1" customWidth="1"/>
    <col min="14856" max="14860" width="12.7109375" style="1" customWidth="1"/>
    <col min="14861" max="14861" width="12" style="1" bestFit="1" customWidth="1"/>
    <col min="14862" max="15100" width="9.140625" style="1"/>
    <col min="15101" max="15102" width="0" style="1" hidden="1" customWidth="1"/>
    <col min="15103" max="15103" width="12.140625" style="1" customWidth="1"/>
    <col min="15104" max="15104" width="33.85546875" style="1" customWidth="1"/>
    <col min="15105" max="15105" width="11.42578125" style="1" customWidth="1"/>
    <col min="15106" max="15107" width="0.140625" style="1" customWidth="1"/>
    <col min="15108" max="15110" width="12.7109375" style="1" customWidth="1"/>
    <col min="15111" max="15111" width="35.28515625" style="1" customWidth="1"/>
    <col min="15112" max="15116" width="12.7109375" style="1" customWidth="1"/>
    <col min="15117" max="15117" width="12" style="1" bestFit="1" customWidth="1"/>
    <col min="15118" max="15356" width="9.140625" style="1"/>
    <col min="15357" max="15358" width="0" style="1" hidden="1" customWidth="1"/>
    <col min="15359" max="15359" width="12.140625" style="1" customWidth="1"/>
    <col min="15360" max="15360" width="33.85546875" style="1" customWidth="1"/>
    <col min="15361" max="15361" width="11.42578125" style="1" customWidth="1"/>
    <col min="15362" max="15363" width="0.140625" style="1" customWidth="1"/>
    <col min="15364" max="15366" width="12.7109375" style="1" customWidth="1"/>
    <col min="15367" max="15367" width="35.28515625" style="1" customWidth="1"/>
    <col min="15368" max="15372" width="12.7109375" style="1" customWidth="1"/>
    <col min="15373" max="15373" width="12" style="1" bestFit="1" customWidth="1"/>
    <col min="15374" max="15612" width="9.140625" style="1"/>
    <col min="15613" max="15614" width="0" style="1" hidden="1" customWidth="1"/>
    <col min="15615" max="15615" width="12.140625" style="1" customWidth="1"/>
    <col min="15616" max="15616" width="33.85546875" style="1" customWidth="1"/>
    <col min="15617" max="15617" width="11.42578125" style="1" customWidth="1"/>
    <col min="15618" max="15619" width="0.140625" style="1" customWidth="1"/>
    <col min="15620" max="15622" width="12.7109375" style="1" customWidth="1"/>
    <col min="15623" max="15623" width="35.28515625" style="1" customWidth="1"/>
    <col min="15624" max="15628" width="12.7109375" style="1" customWidth="1"/>
    <col min="15629" max="15629" width="12" style="1" bestFit="1" customWidth="1"/>
    <col min="15630" max="15868" width="9.140625" style="1"/>
    <col min="15869" max="15870" width="0" style="1" hidden="1" customWidth="1"/>
    <col min="15871" max="15871" width="12.140625" style="1" customWidth="1"/>
    <col min="15872" max="15872" width="33.85546875" style="1" customWidth="1"/>
    <col min="15873" max="15873" width="11.42578125" style="1" customWidth="1"/>
    <col min="15874" max="15875" width="0.140625" style="1" customWidth="1"/>
    <col min="15876" max="15878" width="12.7109375" style="1" customWidth="1"/>
    <col min="15879" max="15879" width="35.28515625" style="1" customWidth="1"/>
    <col min="15880" max="15884" width="12.7109375" style="1" customWidth="1"/>
    <col min="15885" max="15885" width="12" style="1" bestFit="1" customWidth="1"/>
    <col min="15886" max="16124" width="9.140625" style="1"/>
    <col min="16125" max="16126" width="0" style="1" hidden="1" customWidth="1"/>
    <col min="16127" max="16127" width="12.140625" style="1" customWidth="1"/>
    <col min="16128" max="16128" width="33.85546875" style="1" customWidth="1"/>
    <col min="16129" max="16129" width="11.42578125" style="1" customWidth="1"/>
    <col min="16130" max="16131" width="0.140625" style="1" customWidth="1"/>
    <col min="16132" max="16134" width="12.7109375" style="1" customWidth="1"/>
    <col min="16135" max="16135" width="35.28515625" style="1" customWidth="1"/>
    <col min="16136" max="16140" width="12.7109375" style="1" customWidth="1"/>
    <col min="16141" max="16141" width="12" style="1" bestFit="1" customWidth="1"/>
    <col min="16142" max="16384" width="9.140625" style="1"/>
  </cols>
  <sheetData>
    <row r="3" spans="2:12" ht="27.75" customHeight="1" thickBot="1" x14ac:dyDescent="0.25">
      <c r="B3" s="504" t="s">
        <v>146</v>
      </c>
      <c r="C3" s="504"/>
      <c r="D3" s="504"/>
      <c r="E3" s="504"/>
      <c r="F3" s="504"/>
      <c r="G3" s="109"/>
      <c r="H3" s="109"/>
      <c r="L3" s="49"/>
    </row>
    <row r="4" spans="2:12" ht="18" customHeight="1" thickTop="1" thickBot="1" x14ac:dyDescent="0.25">
      <c r="B4" s="290"/>
      <c r="C4" s="291"/>
      <c r="D4" s="291" t="s">
        <v>247</v>
      </c>
      <c r="E4" s="291"/>
      <c r="F4" s="292"/>
      <c r="G4" s="109"/>
      <c r="H4" s="109"/>
      <c r="L4" s="49"/>
    </row>
    <row r="5" spans="2:12" ht="52.5" customHeight="1" thickTop="1" x14ac:dyDescent="0.2">
      <c r="B5" s="156" t="s">
        <v>40</v>
      </c>
      <c r="C5" s="157" t="s">
        <v>163</v>
      </c>
      <c r="D5" s="113" t="s">
        <v>61</v>
      </c>
      <c r="E5" s="158" t="s">
        <v>62</v>
      </c>
      <c r="F5" s="159" t="s">
        <v>165</v>
      </c>
      <c r="J5" s="51"/>
    </row>
    <row r="6" spans="2:12" ht="28.5" customHeight="1" x14ac:dyDescent="0.2">
      <c r="B6" s="160">
        <v>1</v>
      </c>
      <c r="C6" s="104">
        <v>2</v>
      </c>
      <c r="D6" s="50" t="s">
        <v>244</v>
      </c>
      <c r="E6" s="307">
        <v>850</v>
      </c>
      <c r="F6" s="308">
        <f>E6*C6</f>
        <v>1700</v>
      </c>
      <c r="J6" s="51"/>
    </row>
    <row r="7" spans="2:12" ht="15" x14ac:dyDescent="0.2">
      <c r="B7" s="160">
        <v>2</v>
      </c>
      <c r="C7" s="104">
        <v>4</v>
      </c>
      <c r="D7" s="50" t="s">
        <v>121</v>
      </c>
      <c r="E7" s="307">
        <v>250</v>
      </c>
      <c r="F7" s="308">
        <f t="shared" ref="F7:F17" si="0">E7*C7</f>
        <v>1000</v>
      </c>
      <c r="J7" s="51"/>
    </row>
    <row r="8" spans="2:12" ht="15" x14ac:dyDescent="0.2">
      <c r="B8" s="160">
        <v>3</v>
      </c>
      <c r="C8" s="104">
        <v>2</v>
      </c>
      <c r="D8" s="50" t="s">
        <v>242</v>
      </c>
      <c r="E8" s="307">
        <v>65</v>
      </c>
      <c r="F8" s="308">
        <f t="shared" ref="F8:F9" si="1">E8*C8</f>
        <v>130</v>
      </c>
      <c r="J8" s="51"/>
    </row>
    <row r="9" spans="2:12" ht="15" x14ac:dyDescent="0.2">
      <c r="B9" s="160">
        <v>4</v>
      </c>
      <c r="C9" s="104">
        <v>1</v>
      </c>
      <c r="D9" s="50" t="s">
        <v>118</v>
      </c>
      <c r="E9" s="307">
        <v>89</v>
      </c>
      <c r="F9" s="308">
        <f t="shared" si="1"/>
        <v>89</v>
      </c>
      <c r="J9" s="51"/>
    </row>
    <row r="10" spans="2:12" ht="15" x14ac:dyDescent="0.2">
      <c r="B10" s="160">
        <v>5</v>
      </c>
      <c r="C10" s="104">
        <v>6</v>
      </c>
      <c r="D10" s="50" t="s">
        <v>119</v>
      </c>
      <c r="E10" s="307">
        <v>25</v>
      </c>
      <c r="F10" s="308">
        <f t="shared" si="0"/>
        <v>150</v>
      </c>
      <c r="J10" s="51"/>
    </row>
    <row r="11" spans="2:12" ht="15.75" thickBot="1" x14ac:dyDescent="0.25">
      <c r="B11" s="284">
        <v>6</v>
      </c>
      <c r="C11" s="285">
        <v>2</v>
      </c>
      <c r="D11" s="286" t="s">
        <v>122</v>
      </c>
      <c r="E11" s="310">
        <v>320</v>
      </c>
      <c r="F11" s="308">
        <f t="shared" si="0"/>
        <v>640</v>
      </c>
      <c r="J11" s="51"/>
    </row>
    <row r="12" spans="2:12" ht="7.5" customHeight="1" thickTop="1" thickBot="1" x14ac:dyDescent="0.25">
      <c r="B12" s="287"/>
      <c r="C12" s="288"/>
      <c r="D12" s="140"/>
      <c r="E12" s="289"/>
      <c r="F12" s="289"/>
      <c r="J12" s="51"/>
    </row>
    <row r="13" spans="2:12" ht="18.75" customHeight="1" thickTop="1" x14ac:dyDescent="0.2">
      <c r="B13" s="509" t="s">
        <v>246</v>
      </c>
      <c r="C13" s="510"/>
      <c r="D13" s="510"/>
      <c r="E13" s="510"/>
      <c r="F13" s="511"/>
      <c r="J13" s="51"/>
    </row>
    <row r="14" spans="2:12" ht="15" x14ac:dyDescent="0.2">
      <c r="B14" s="160">
        <v>7</v>
      </c>
      <c r="C14" s="104">
        <v>1</v>
      </c>
      <c r="D14" s="163" t="s">
        <v>123</v>
      </c>
      <c r="E14" s="307">
        <v>249</v>
      </c>
      <c r="F14" s="308">
        <f t="shared" si="0"/>
        <v>249</v>
      </c>
      <c r="J14" s="51"/>
    </row>
    <row r="15" spans="2:12" ht="15" x14ac:dyDescent="0.2">
      <c r="B15" s="160">
        <v>8</v>
      </c>
      <c r="C15" s="104">
        <v>2</v>
      </c>
      <c r="D15" s="163" t="s">
        <v>124</v>
      </c>
      <c r="E15" s="307">
        <v>120</v>
      </c>
      <c r="F15" s="308">
        <f t="shared" si="0"/>
        <v>240</v>
      </c>
      <c r="J15" s="51"/>
    </row>
    <row r="16" spans="2:12" ht="15" x14ac:dyDescent="0.2">
      <c r="B16" s="160">
        <v>9</v>
      </c>
      <c r="C16" s="104">
        <v>4</v>
      </c>
      <c r="D16" s="163" t="s">
        <v>120</v>
      </c>
      <c r="E16" s="307">
        <v>30</v>
      </c>
      <c r="F16" s="308">
        <f t="shared" si="0"/>
        <v>120</v>
      </c>
      <c r="J16" s="51"/>
    </row>
    <row r="17" spans="2:12" ht="15" x14ac:dyDescent="0.2">
      <c r="B17" s="160">
        <v>10</v>
      </c>
      <c r="C17" s="164">
        <v>1</v>
      </c>
      <c r="D17" s="105" t="s">
        <v>125</v>
      </c>
      <c r="E17" s="307">
        <v>390</v>
      </c>
      <c r="F17" s="308">
        <f t="shared" si="0"/>
        <v>390</v>
      </c>
      <c r="J17" s="51"/>
    </row>
    <row r="18" spans="2:12" ht="19.5" customHeight="1" thickBot="1" x14ac:dyDescent="0.25">
      <c r="B18" s="505" t="s">
        <v>63</v>
      </c>
      <c r="C18" s="506"/>
      <c r="D18" s="506"/>
      <c r="E18" s="507"/>
      <c r="F18" s="311">
        <f>SUM(F6:F17)</f>
        <v>4708</v>
      </c>
      <c r="J18" s="48"/>
    </row>
    <row r="19" spans="2:12" ht="13.5" thickTop="1" x14ac:dyDescent="0.2">
      <c r="B19" s="4"/>
      <c r="C19" s="48"/>
      <c r="D19" s="48"/>
      <c r="E19" s="48"/>
      <c r="F19" s="48"/>
      <c r="G19" s="48"/>
      <c r="L19" s="48"/>
    </row>
    <row r="20" spans="2:12" x14ac:dyDescent="0.2">
      <c r="B20" s="110"/>
      <c r="G20" s="52"/>
      <c r="H20" s="52"/>
      <c r="I20" s="52"/>
      <c r="J20" s="52"/>
      <c r="K20" s="52"/>
      <c r="L20" s="52"/>
    </row>
    <row r="21" spans="2:12" ht="27" customHeight="1" thickBot="1" x14ac:dyDescent="0.25">
      <c r="B21" s="508" t="s">
        <v>127</v>
      </c>
      <c r="C21" s="508"/>
      <c r="D21" s="508"/>
      <c r="E21" s="508"/>
      <c r="F21" s="508"/>
      <c r="G21" s="109"/>
      <c r="H21" s="109"/>
      <c r="I21" s="52"/>
      <c r="J21" s="52"/>
      <c r="K21" s="52"/>
      <c r="L21" s="52"/>
    </row>
    <row r="22" spans="2:12" ht="18.75" customHeight="1" thickTop="1" thickBot="1" x14ac:dyDescent="0.25">
      <c r="B22" s="512" t="s">
        <v>248</v>
      </c>
      <c r="C22" s="513"/>
      <c r="D22" s="513"/>
      <c r="E22" s="513"/>
      <c r="F22" s="514"/>
      <c r="G22" s="109"/>
      <c r="H22" s="109"/>
      <c r="I22" s="52"/>
      <c r="J22" s="52"/>
      <c r="K22" s="52"/>
      <c r="L22" s="52"/>
    </row>
    <row r="23" spans="2:12" ht="51.75" thickTop="1" x14ac:dyDescent="0.2">
      <c r="B23" s="156" t="s">
        <v>40</v>
      </c>
      <c r="C23" s="157" t="s">
        <v>163</v>
      </c>
      <c r="D23" s="158" t="s">
        <v>61</v>
      </c>
      <c r="E23" s="158" t="s">
        <v>62</v>
      </c>
      <c r="F23" s="159" t="s">
        <v>165</v>
      </c>
      <c r="G23" s="52"/>
      <c r="H23" s="52"/>
      <c r="I23" s="52"/>
      <c r="J23" s="52"/>
    </row>
    <row r="24" spans="2:12" ht="38.25" x14ac:dyDescent="0.2">
      <c r="B24" s="160">
        <v>11</v>
      </c>
      <c r="C24" s="111">
        <v>2</v>
      </c>
      <c r="D24" s="106" t="s">
        <v>243</v>
      </c>
      <c r="E24" s="307">
        <v>800</v>
      </c>
      <c r="F24" s="308">
        <f>E24*C24</f>
        <v>1600</v>
      </c>
      <c r="G24" s="52"/>
      <c r="H24" s="52"/>
      <c r="I24" s="52"/>
      <c r="J24" s="52"/>
    </row>
    <row r="25" spans="2:12" x14ac:dyDescent="0.2">
      <c r="B25" s="160">
        <v>12</v>
      </c>
      <c r="C25" s="111">
        <v>4</v>
      </c>
      <c r="D25" s="106" t="s">
        <v>245</v>
      </c>
      <c r="E25" s="307">
        <v>280</v>
      </c>
      <c r="F25" s="308">
        <f t="shared" ref="F25:F34" si="2">E25*C25</f>
        <v>1120</v>
      </c>
      <c r="G25" s="52"/>
      <c r="H25" s="52"/>
      <c r="I25" s="52"/>
      <c r="J25" s="52"/>
    </row>
    <row r="26" spans="2:12" x14ac:dyDescent="0.2">
      <c r="B26" s="160"/>
      <c r="C26" s="111">
        <v>1</v>
      </c>
      <c r="D26" s="106" t="s">
        <v>118</v>
      </c>
      <c r="E26" s="307">
        <v>89</v>
      </c>
      <c r="F26" s="308">
        <f>E26*C26</f>
        <v>89</v>
      </c>
      <c r="G26" s="52"/>
      <c r="H26" s="52"/>
      <c r="I26" s="52"/>
      <c r="J26" s="52"/>
    </row>
    <row r="27" spans="2:12" x14ac:dyDescent="0.2">
      <c r="B27" s="160">
        <v>13</v>
      </c>
      <c r="C27" s="111">
        <v>6</v>
      </c>
      <c r="D27" s="106" t="s">
        <v>249</v>
      </c>
      <c r="E27" s="307">
        <v>40</v>
      </c>
      <c r="F27" s="308">
        <f t="shared" si="2"/>
        <v>240</v>
      </c>
      <c r="G27" s="52"/>
      <c r="H27" s="52"/>
      <c r="I27" s="52"/>
      <c r="J27" s="52"/>
    </row>
    <row r="28" spans="2:12" ht="15.75" thickBot="1" x14ac:dyDescent="0.25">
      <c r="B28" s="284">
        <v>15</v>
      </c>
      <c r="C28" s="293">
        <v>2</v>
      </c>
      <c r="D28" s="294" t="s">
        <v>122</v>
      </c>
      <c r="E28" s="310">
        <v>320</v>
      </c>
      <c r="F28" s="308">
        <f t="shared" si="2"/>
        <v>640</v>
      </c>
      <c r="G28" s="52"/>
      <c r="H28" s="52"/>
      <c r="I28" s="52"/>
      <c r="J28" s="51"/>
    </row>
    <row r="29" spans="2:12" ht="6.75" customHeight="1" thickTop="1" thickBot="1" x14ac:dyDescent="0.25">
      <c r="B29" s="287"/>
      <c r="C29" s="295"/>
      <c r="D29" s="296"/>
      <c r="E29" s="298"/>
      <c r="F29" s="297"/>
      <c r="G29" s="52"/>
      <c r="H29" s="52"/>
      <c r="I29" s="52"/>
      <c r="J29" s="51"/>
    </row>
    <row r="30" spans="2:12" ht="18.75" customHeight="1" thickTop="1" x14ac:dyDescent="0.2">
      <c r="B30" s="509" t="s">
        <v>250</v>
      </c>
      <c r="C30" s="510"/>
      <c r="D30" s="510"/>
      <c r="E30" s="510"/>
      <c r="F30" s="511"/>
      <c r="G30" s="52"/>
      <c r="H30" s="52"/>
      <c r="I30" s="52"/>
      <c r="J30" s="51"/>
    </row>
    <row r="31" spans="2:12" ht="15" x14ac:dyDescent="0.2">
      <c r="B31" s="160">
        <v>16</v>
      </c>
      <c r="C31" s="111">
        <v>1</v>
      </c>
      <c r="D31" s="107" t="s">
        <v>123</v>
      </c>
      <c r="E31" s="307">
        <v>249</v>
      </c>
      <c r="F31" s="308">
        <f t="shared" si="2"/>
        <v>249</v>
      </c>
      <c r="G31" s="51"/>
      <c r="H31" s="51"/>
      <c r="I31" s="51"/>
    </row>
    <row r="32" spans="2:12" x14ac:dyDescent="0.2">
      <c r="B32" s="160">
        <v>17</v>
      </c>
      <c r="C32" s="111">
        <v>2</v>
      </c>
      <c r="D32" s="108" t="s">
        <v>124</v>
      </c>
      <c r="E32" s="307">
        <v>120</v>
      </c>
      <c r="F32" s="308">
        <f t="shared" si="2"/>
        <v>240</v>
      </c>
    </row>
    <row r="33" spans="2:6" x14ac:dyDescent="0.2">
      <c r="B33" s="160">
        <v>18</v>
      </c>
      <c r="C33" s="111">
        <v>4</v>
      </c>
      <c r="D33" s="108" t="s">
        <v>120</v>
      </c>
      <c r="E33" s="307">
        <v>30</v>
      </c>
      <c r="F33" s="308">
        <f t="shared" si="2"/>
        <v>120</v>
      </c>
    </row>
    <row r="34" spans="2:6" ht="15.75" customHeight="1" x14ac:dyDescent="0.2">
      <c r="B34" s="160">
        <v>19</v>
      </c>
      <c r="C34" s="111">
        <v>1</v>
      </c>
      <c r="D34" s="108" t="s">
        <v>126</v>
      </c>
      <c r="E34" s="307">
        <v>390</v>
      </c>
      <c r="F34" s="308">
        <f t="shared" si="2"/>
        <v>390</v>
      </c>
    </row>
    <row r="35" spans="2:6" ht="18" customHeight="1" thickBot="1" x14ac:dyDescent="0.25">
      <c r="B35" s="505" t="s">
        <v>63</v>
      </c>
      <c r="C35" s="506"/>
      <c r="D35" s="506"/>
      <c r="E35" s="507"/>
      <c r="F35" s="311">
        <f>SUM(F24:F34)</f>
        <v>4688</v>
      </c>
    </row>
    <row r="36" spans="2:6" ht="13.5" thickTop="1" x14ac:dyDescent="0.2">
      <c r="B36" s="1" t="s">
        <v>164</v>
      </c>
    </row>
  </sheetData>
  <mergeCells count="7">
    <mergeCell ref="B3:F3"/>
    <mergeCell ref="B18:E18"/>
    <mergeCell ref="B21:F21"/>
    <mergeCell ref="B35:E35"/>
    <mergeCell ref="B13:F13"/>
    <mergeCell ref="B22:F22"/>
    <mergeCell ref="B30:F30"/>
  </mergeCells>
  <pageMargins left="0.9055118110236221" right="0.51181102362204722" top="0.19685039370078741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J10"/>
  <sheetViews>
    <sheetView showGridLines="0" zoomScale="130" zoomScaleNormal="130" zoomScaleSheetLayoutView="110" workbookViewId="0">
      <selection activeCell="B6" sqref="B6"/>
    </sheetView>
  </sheetViews>
  <sheetFormatPr defaultRowHeight="12.75" x14ac:dyDescent="0.2"/>
  <cols>
    <col min="1" max="1" width="9.140625" style="1"/>
    <col min="2" max="2" width="7.140625" style="1" customWidth="1"/>
    <col min="3" max="3" width="14" style="1" customWidth="1"/>
    <col min="4" max="4" width="41.42578125" style="1" customWidth="1"/>
    <col min="5" max="5" width="14.5703125" style="1" customWidth="1"/>
    <col min="6" max="6" width="20" style="1" customWidth="1"/>
    <col min="7" max="255" width="9.140625" style="1"/>
    <col min="256" max="256" width="16" style="1" customWidth="1"/>
    <col min="257" max="257" width="11.5703125" style="1" customWidth="1"/>
    <col min="258" max="258" width="45.42578125" style="1" customWidth="1"/>
    <col min="259" max="259" width="16.28515625" style="1" customWidth="1"/>
    <col min="260" max="260" width="9.140625" style="1" customWidth="1"/>
    <col min="261" max="511" width="9.140625" style="1"/>
    <col min="512" max="512" width="16" style="1" customWidth="1"/>
    <col min="513" max="513" width="11.5703125" style="1" customWidth="1"/>
    <col min="514" max="514" width="45.42578125" style="1" customWidth="1"/>
    <col min="515" max="515" width="16.28515625" style="1" customWidth="1"/>
    <col min="516" max="516" width="9.140625" style="1" customWidth="1"/>
    <col min="517" max="767" width="9.140625" style="1"/>
    <col min="768" max="768" width="16" style="1" customWidth="1"/>
    <col min="769" max="769" width="11.5703125" style="1" customWidth="1"/>
    <col min="770" max="770" width="45.42578125" style="1" customWidth="1"/>
    <col min="771" max="771" width="16.28515625" style="1" customWidth="1"/>
    <col min="772" max="772" width="9.140625" style="1" customWidth="1"/>
    <col min="773" max="1023" width="9.140625" style="1"/>
    <col min="1024" max="1024" width="16" style="1" customWidth="1"/>
    <col min="1025" max="1025" width="11.5703125" style="1" customWidth="1"/>
    <col min="1026" max="1026" width="45.42578125" style="1" customWidth="1"/>
    <col min="1027" max="1027" width="16.28515625" style="1" customWidth="1"/>
    <col min="1028" max="1028" width="9.140625" style="1" customWidth="1"/>
    <col min="1029" max="1279" width="9.140625" style="1"/>
    <col min="1280" max="1280" width="16" style="1" customWidth="1"/>
    <col min="1281" max="1281" width="11.5703125" style="1" customWidth="1"/>
    <col min="1282" max="1282" width="45.42578125" style="1" customWidth="1"/>
    <col min="1283" max="1283" width="16.28515625" style="1" customWidth="1"/>
    <col min="1284" max="1284" width="9.140625" style="1" customWidth="1"/>
    <col min="1285" max="1535" width="9.140625" style="1"/>
    <col min="1536" max="1536" width="16" style="1" customWidth="1"/>
    <col min="1537" max="1537" width="11.5703125" style="1" customWidth="1"/>
    <col min="1538" max="1538" width="45.42578125" style="1" customWidth="1"/>
    <col min="1539" max="1539" width="16.28515625" style="1" customWidth="1"/>
    <col min="1540" max="1540" width="9.140625" style="1" customWidth="1"/>
    <col min="1541" max="1791" width="9.140625" style="1"/>
    <col min="1792" max="1792" width="16" style="1" customWidth="1"/>
    <col min="1793" max="1793" width="11.5703125" style="1" customWidth="1"/>
    <col min="1794" max="1794" width="45.42578125" style="1" customWidth="1"/>
    <col min="1795" max="1795" width="16.28515625" style="1" customWidth="1"/>
    <col min="1796" max="1796" width="9.140625" style="1" customWidth="1"/>
    <col min="1797" max="2047" width="9.140625" style="1"/>
    <col min="2048" max="2048" width="16" style="1" customWidth="1"/>
    <col min="2049" max="2049" width="11.5703125" style="1" customWidth="1"/>
    <col min="2050" max="2050" width="45.42578125" style="1" customWidth="1"/>
    <col min="2051" max="2051" width="16.28515625" style="1" customWidth="1"/>
    <col min="2052" max="2052" width="9.140625" style="1" customWidth="1"/>
    <col min="2053" max="2303" width="9.140625" style="1"/>
    <col min="2304" max="2304" width="16" style="1" customWidth="1"/>
    <col min="2305" max="2305" width="11.5703125" style="1" customWidth="1"/>
    <col min="2306" max="2306" width="45.42578125" style="1" customWidth="1"/>
    <col min="2307" max="2307" width="16.28515625" style="1" customWidth="1"/>
    <col min="2308" max="2308" width="9.140625" style="1" customWidth="1"/>
    <col min="2309" max="2559" width="9.140625" style="1"/>
    <col min="2560" max="2560" width="16" style="1" customWidth="1"/>
    <col min="2561" max="2561" width="11.5703125" style="1" customWidth="1"/>
    <col min="2562" max="2562" width="45.42578125" style="1" customWidth="1"/>
    <col min="2563" max="2563" width="16.28515625" style="1" customWidth="1"/>
    <col min="2564" max="2564" width="9.140625" style="1" customWidth="1"/>
    <col min="2565" max="2815" width="9.140625" style="1"/>
    <col min="2816" max="2816" width="16" style="1" customWidth="1"/>
    <col min="2817" max="2817" width="11.5703125" style="1" customWidth="1"/>
    <col min="2818" max="2818" width="45.42578125" style="1" customWidth="1"/>
    <col min="2819" max="2819" width="16.28515625" style="1" customWidth="1"/>
    <col min="2820" max="2820" width="9.140625" style="1" customWidth="1"/>
    <col min="2821" max="3071" width="9.140625" style="1"/>
    <col min="3072" max="3072" width="16" style="1" customWidth="1"/>
    <col min="3073" max="3073" width="11.5703125" style="1" customWidth="1"/>
    <col min="3074" max="3074" width="45.42578125" style="1" customWidth="1"/>
    <col min="3075" max="3075" width="16.28515625" style="1" customWidth="1"/>
    <col min="3076" max="3076" width="9.140625" style="1" customWidth="1"/>
    <col min="3077" max="3327" width="9.140625" style="1"/>
    <col min="3328" max="3328" width="16" style="1" customWidth="1"/>
    <col min="3329" max="3329" width="11.5703125" style="1" customWidth="1"/>
    <col min="3330" max="3330" width="45.42578125" style="1" customWidth="1"/>
    <col min="3331" max="3331" width="16.28515625" style="1" customWidth="1"/>
    <col min="3332" max="3332" width="9.140625" style="1" customWidth="1"/>
    <col min="3333" max="3583" width="9.140625" style="1"/>
    <col min="3584" max="3584" width="16" style="1" customWidth="1"/>
    <col min="3585" max="3585" width="11.5703125" style="1" customWidth="1"/>
    <col min="3586" max="3586" width="45.42578125" style="1" customWidth="1"/>
    <col min="3587" max="3587" width="16.28515625" style="1" customWidth="1"/>
    <col min="3588" max="3588" width="9.140625" style="1" customWidth="1"/>
    <col min="3589" max="3839" width="9.140625" style="1"/>
    <col min="3840" max="3840" width="16" style="1" customWidth="1"/>
    <col min="3841" max="3841" width="11.5703125" style="1" customWidth="1"/>
    <col min="3842" max="3842" width="45.42578125" style="1" customWidth="1"/>
    <col min="3843" max="3843" width="16.28515625" style="1" customWidth="1"/>
    <col min="3844" max="3844" width="9.140625" style="1" customWidth="1"/>
    <col min="3845" max="4095" width="9.140625" style="1"/>
    <col min="4096" max="4096" width="16" style="1" customWidth="1"/>
    <col min="4097" max="4097" width="11.5703125" style="1" customWidth="1"/>
    <col min="4098" max="4098" width="45.42578125" style="1" customWidth="1"/>
    <col min="4099" max="4099" width="16.28515625" style="1" customWidth="1"/>
    <col min="4100" max="4100" width="9.140625" style="1" customWidth="1"/>
    <col min="4101" max="4351" width="9.140625" style="1"/>
    <col min="4352" max="4352" width="16" style="1" customWidth="1"/>
    <col min="4353" max="4353" width="11.5703125" style="1" customWidth="1"/>
    <col min="4354" max="4354" width="45.42578125" style="1" customWidth="1"/>
    <col min="4355" max="4355" width="16.28515625" style="1" customWidth="1"/>
    <col min="4356" max="4356" width="9.140625" style="1" customWidth="1"/>
    <col min="4357" max="4607" width="9.140625" style="1"/>
    <col min="4608" max="4608" width="16" style="1" customWidth="1"/>
    <col min="4609" max="4609" width="11.5703125" style="1" customWidth="1"/>
    <col min="4610" max="4610" width="45.42578125" style="1" customWidth="1"/>
    <col min="4611" max="4611" width="16.28515625" style="1" customWidth="1"/>
    <col min="4612" max="4612" width="9.140625" style="1" customWidth="1"/>
    <col min="4613" max="4863" width="9.140625" style="1"/>
    <col min="4864" max="4864" width="16" style="1" customWidth="1"/>
    <col min="4865" max="4865" width="11.5703125" style="1" customWidth="1"/>
    <col min="4866" max="4866" width="45.42578125" style="1" customWidth="1"/>
    <col min="4867" max="4867" width="16.28515625" style="1" customWidth="1"/>
    <col min="4868" max="4868" width="9.140625" style="1" customWidth="1"/>
    <col min="4869" max="5119" width="9.140625" style="1"/>
    <col min="5120" max="5120" width="16" style="1" customWidth="1"/>
    <col min="5121" max="5121" width="11.5703125" style="1" customWidth="1"/>
    <col min="5122" max="5122" width="45.42578125" style="1" customWidth="1"/>
    <col min="5123" max="5123" width="16.28515625" style="1" customWidth="1"/>
    <col min="5124" max="5124" width="9.140625" style="1" customWidth="1"/>
    <col min="5125" max="5375" width="9.140625" style="1"/>
    <col min="5376" max="5376" width="16" style="1" customWidth="1"/>
    <col min="5377" max="5377" width="11.5703125" style="1" customWidth="1"/>
    <col min="5378" max="5378" width="45.42578125" style="1" customWidth="1"/>
    <col min="5379" max="5379" width="16.28515625" style="1" customWidth="1"/>
    <col min="5380" max="5380" width="9.140625" style="1" customWidth="1"/>
    <col min="5381" max="5631" width="9.140625" style="1"/>
    <col min="5632" max="5632" width="16" style="1" customWidth="1"/>
    <col min="5633" max="5633" width="11.5703125" style="1" customWidth="1"/>
    <col min="5634" max="5634" width="45.42578125" style="1" customWidth="1"/>
    <col min="5635" max="5635" width="16.28515625" style="1" customWidth="1"/>
    <col min="5636" max="5636" width="9.140625" style="1" customWidth="1"/>
    <col min="5637" max="5887" width="9.140625" style="1"/>
    <col min="5888" max="5888" width="16" style="1" customWidth="1"/>
    <col min="5889" max="5889" width="11.5703125" style="1" customWidth="1"/>
    <col min="5890" max="5890" width="45.42578125" style="1" customWidth="1"/>
    <col min="5891" max="5891" width="16.28515625" style="1" customWidth="1"/>
    <col min="5892" max="5892" width="9.140625" style="1" customWidth="1"/>
    <col min="5893" max="6143" width="9.140625" style="1"/>
    <col min="6144" max="6144" width="16" style="1" customWidth="1"/>
    <col min="6145" max="6145" width="11.5703125" style="1" customWidth="1"/>
    <col min="6146" max="6146" width="45.42578125" style="1" customWidth="1"/>
    <col min="6147" max="6147" width="16.28515625" style="1" customWidth="1"/>
    <col min="6148" max="6148" width="9.140625" style="1" customWidth="1"/>
    <col min="6149" max="6399" width="9.140625" style="1"/>
    <col min="6400" max="6400" width="16" style="1" customWidth="1"/>
    <col min="6401" max="6401" width="11.5703125" style="1" customWidth="1"/>
    <col min="6402" max="6402" width="45.42578125" style="1" customWidth="1"/>
    <col min="6403" max="6403" width="16.28515625" style="1" customWidth="1"/>
    <col min="6404" max="6404" width="9.140625" style="1" customWidth="1"/>
    <col min="6405" max="6655" width="9.140625" style="1"/>
    <col min="6656" max="6656" width="16" style="1" customWidth="1"/>
    <col min="6657" max="6657" width="11.5703125" style="1" customWidth="1"/>
    <col min="6658" max="6658" width="45.42578125" style="1" customWidth="1"/>
    <col min="6659" max="6659" width="16.28515625" style="1" customWidth="1"/>
    <col min="6660" max="6660" width="9.140625" style="1" customWidth="1"/>
    <col min="6661" max="6911" width="9.140625" style="1"/>
    <col min="6912" max="6912" width="16" style="1" customWidth="1"/>
    <col min="6913" max="6913" width="11.5703125" style="1" customWidth="1"/>
    <col min="6914" max="6914" width="45.42578125" style="1" customWidth="1"/>
    <col min="6915" max="6915" width="16.28515625" style="1" customWidth="1"/>
    <col min="6916" max="6916" width="9.140625" style="1" customWidth="1"/>
    <col min="6917" max="7167" width="9.140625" style="1"/>
    <col min="7168" max="7168" width="16" style="1" customWidth="1"/>
    <col min="7169" max="7169" width="11.5703125" style="1" customWidth="1"/>
    <col min="7170" max="7170" width="45.42578125" style="1" customWidth="1"/>
    <col min="7171" max="7171" width="16.28515625" style="1" customWidth="1"/>
    <col min="7172" max="7172" width="9.140625" style="1" customWidth="1"/>
    <col min="7173" max="7423" width="9.140625" style="1"/>
    <col min="7424" max="7424" width="16" style="1" customWidth="1"/>
    <col min="7425" max="7425" width="11.5703125" style="1" customWidth="1"/>
    <col min="7426" max="7426" width="45.42578125" style="1" customWidth="1"/>
    <col min="7427" max="7427" width="16.28515625" style="1" customWidth="1"/>
    <col min="7428" max="7428" width="9.140625" style="1" customWidth="1"/>
    <col min="7429" max="7679" width="9.140625" style="1"/>
    <col min="7680" max="7680" width="16" style="1" customWidth="1"/>
    <col min="7681" max="7681" width="11.5703125" style="1" customWidth="1"/>
    <col min="7682" max="7682" width="45.42578125" style="1" customWidth="1"/>
    <col min="7683" max="7683" width="16.28515625" style="1" customWidth="1"/>
    <col min="7684" max="7684" width="9.140625" style="1" customWidth="1"/>
    <col min="7685" max="7935" width="9.140625" style="1"/>
    <col min="7936" max="7936" width="16" style="1" customWidth="1"/>
    <col min="7937" max="7937" width="11.5703125" style="1" customWidth="1"/>
    <col min="7938" max="7938" width="45.42578125" style="1" customWidth="1"/>
    <col min="7939" max="7939" width="16.28515625" style="1" customWidth="1"/>
    <col min="7940" max="7940" width="9.140625" style="1" customWidth="1"/>
    <col min="7941" max="8191" width="9.140625" style="1"/>
    <col min="8192" max="8192" width="16" style="1" customWidth="1"/>
    <col min="8193" max="8193" width="11.5703125" style="1" customWidth="1"/>
    <col min="8194" max="8194" width="45.42578125" style="1" customWidth="1"/>
    <col min="8195" max="8195" width="16.28515625" style="1" customWidth="1"/>
    <col min="8196" max="8196" width="9.140625" style="1" customWidth="1"/>
    <col min="8197" max="8447" width="9.140625" style="1"/>
    <col min="8448" max="8448" width="16" style="1" customWidth="1"/>
    <col min="8449" max="8449" width="11.5703125" style="1" customWidth="1"/>
    <col min="8450" max="8450" width="45.42578125" style="1" customWidth="1"/>
    <col min="8451" max="8451" width="16.28515625" style="1" customWidth="1"/>
    <col min="8452" max="8452" width="9.140625" style="1" customWidth="1"/>
    <col min="8453" max="8703" width="9.140625" style="1"/>
    <col min="8704" max="8704" width="16" style="1" customWidth="1"/>
    <col min="8705" max="8705" width="11.5703125" style="1" customWidth="1"/>
    <col min="8706" max="8706" width="45.42578125" style="1" customWidth="1"/>
    <col min="8707" max="8707" width="16.28515625" style="1" customWidth="1"/>
    <col min="8708" max="8708" width="9.140625" style="1" customWidth="1"/>
    <col min="8709" max="8959" width="9.140625" style="1"/>
    <col min="8960" max="8960" width="16" style="1" customWidth="1"/>
    <col min="8961" max="8961" width="11.5703125" style="1" customWidth="1"/>
    <col min="8962" max="8962" width="45.42578125" style="1" customWidth="1"/>
    <col min="8963" max="8963" width="16.28515625" style="1" customWidth="1"/>
    <col min="8964" max="8964" width="9.140625" style="1" customWidth="1"/>
    <col min="8965" max="9215" width="9.140625" style="1"/>
    <col min="9216" max="9216" width="16" style="1" customWidth="1"/>
    <col min="9217" max="9217" width="11.5703125" style="1" customWidth="1"/>
    <col min="9218" max="9218" width="45.42578125" style="1" customWidth="1"/>
    <col min="9219" max="9219" width="16.28515625" style="1" customWidth="1"/>
    <col min="9220" max="9220" width="9.140625" style="1" customWidth="1"/>
    <col min="9221" max="9471" width="9.140625" style="1"/>
    <col min="9472" max="9472" width="16" style="1" customWidth="1"/>
    <col min="9473" max="9473" width="11.5703125" style="1" customWidth="1"/>
    <col min="9474" max="9474" width="45.42578125" style="1" customWidth="1"/>
    <col min="9475" max="9475" width="16.28515625" style="1" customWidth="1"/>
    <col min="9476" max="9476" width="9.140625" style="1" customWidth="1"/>
    <col min="9477" max="9727" width="9.140625" style="1"/>
    <col min="9728" max="9728" width="16" style="1" customWidth="1"/>
    <col min="9729" max="9729" width="11.5703125" style="1" customWidth="1"/>
    <col min="9730" max="9730" width="45.42578125" style="1" customWidth="1"/>
    <col min="9731" max="9731" width="16.28515625" style="1" customWidth="1"/>
    <col min="9732" max="9732" width="9.140625" style="1" customWidth="1"/>
    <col min="9733" max="9983" width="9.140625" style="1"/>
    <col min="9984" max="9984" width="16" style="1" customWidth="1"/>
    <col min="9985" max="9985" width="11.5703125" style="1" customWidth="1"/>
    <col min="9986" max="9986" width="45.42578125" style="1" customWidth="1"/>
    <col min="9987" max="9987" width="16.28515625" style="1" customWidth="1"/>
    <col min="9988" max="9988" width="9.140625" style="1" customWidth="1"/>
    <col min="9989" max="10239" width="9.140625" style="1"/>
    <col min="10240" max="10240" width="16" style="1" customWidth="1"/>
    <col min="10241" max="10241" width="11.5703125" style="1" customWidth="1"/>
    <col min="10242" max="10242" width="45.42578125" style="1" customWidth="1"/>
    <col min="10243" max="10243" width="16.28515625" style="1" customWidth="1"/>
    <col min="10244" max="10244" width="9.140625" style="1" customWidth="1"/>
    <col min="10245" max="10495" width="9.140625" style="1"/>
    <col min="10496" max="10496" width="16" style="1" customWidth="1"/>
    <col min="10497" max="10497" width="11.5703125" style="1" customWidth="1"/>
    <col min="10498" max="10498" width="45.42578125" style="1" customWidth="1"/>
    <col min="10499" max="10499" width="16.28515625" style="1" customWidth="1"/>
    <col min="10500" max="10500" width="9.140625" style="1" customWidth="1"/>
    <col min="10501" max="10751" width="9.140625" style="1"/>
    <col min="10752" max="10752" width="16" style="1" customWidth="1"/>
    <col min="10753" max="10753" width="11.5703125" style="1" customWidth="1"/>
    <col min="10754" max="10754" width="45.42578125" style="1" customWidth="1"/>
    <col min="10755" max="10755" width="16.28515625" style="1" customWidth="1"/>
    <col min="10756" max="10756" width="9.140625" style="1" customWidth="1"/>
    <col min="10757" max="11007" width="9.140625" style="1"/>
    <col min="11008" max="11008" width="16" style="1" customWidth="1"/>
    <col min="11009" max="11009" width="11.5703125" style="1" customWidth="1"/>
    <col min="11010" max="11010" width="45.42578125" style="1" customWidth="1"/>
    <col min="11011" max="11011" width="16.28515625" style="1" customWidth="1"/>
    <col min="11012" max="11012" width="9.140625" style="1" customWidth="1"/>
    <col min="11013" max="11263" width="9.140625" style="1"/>
    <col min="11264" max="11264" width="16" style="1" customWidth="1"/>
    <col min="11265" max="11265" width="11.5703125" style="1" customWidth="1"/>
    <col min="11266" max="11266" width="45.42578125" style="1" customWidth="1"/>
    <col min="11267" max="11267" width="16.28515625" style="1" customWidth="1"/>
    <col min="11268" max="11268" width="9.140625" style="1" customWidth="1"/>
    <col min="11269" max="11519" width="9.140625" style="1"/>
    <col min="11520" max="11520" width="16" style="1" customWidth="1"/>
    <col min="11521" max="11521" width="11.5703125" style="1" customWidth="1"/>
    <col min="11522" max="11522" width="45.42578125" style="1" customWidth="1"/>
    <col min="11523" max="11523" width="16.28515625" style="1" customWidth="1"/>
    <col min="11524" max="11524" width="9.140625" style="1" customWidth="1"/>
    <col min="11525" max="11775" width="9.140625" style="1"/>
    <col min="11776" max="11776" width="16" style="1" customWidth="1"/>
    <col min="11777" max="11777" width="11.5703125" style="1" customWidth="1"/>
    <col min="11778" max="11778" width="45.42578125" style="1" customWidth="1"/>
    <col min="11779" max="11779" width="16.28515625" style="1" customWidth="1"/>
    <col min="11780" max="11780" width="9.140625" style="1" customWidth="1"/>
    <col min="11781" max="12031" width="9.140625" style="1"/>
    <col min="12032" max="12032" width="16" style="1" customWidth="1"/>
    <col min="12033" max="12033" width="11.5703125" style="1" customWidth="1"/>
    <col min="12034" max="12034" width="45.42578125" style="1" customWidth="1"/>
    <col min="12035" max="12035" width="16.28515625" style="1" customWidth="1"/>
    <col min="12036" max="12036" width="9.140625" style="1" customWidth="1"/>
    <col min="12037" max="12287" width="9.140625" style="1"/>
    <col min="12288" max="12288" width="16" style="1" customWidth="1"/>
    <col min="12289" max="12289" width="11.5703125" style="1" customWidth="1"/>
    <col min="12290" max="12290" width="45.42578125" style="1" customWidth="1"/>
    <col min="12291" max="12291" width="16.28515625" style="1" customWidth="1"/>
    <col min="12292" max="12292" width="9.140625" style="1" customWidth="1"/>
    <col min="12293" max="12543" width="9.140625" style="1"/>
    <col min="12544" max="12544" width="16" style="1" customWidth="1"/>
    <col min="12545" max="12545" width="11.5703125" style="1" customWidth="1"/>
    <col min="12546" max="12546" width="45.42578125" style="1" customWidth="1"/>
    <col min="12547" max="12547" width="16.28515625" style="1" customWidth="1"/>
    <col min="12548" max="12548" width="9.140625" style="1" customWidth="1"/>
    <col min="12549" max="12799" width="9.140625" style="1"/>
    <col min="12800" max="12800" width="16" style="1" customWidth="1"/>
    <col min="12801" max="12801" width="11.5703125" style="1" customWidth="1"/>
    <col min="12802" max="12802" width="45.42578125" style="1" customWidth="1"/>
    <col min="12803" max="12803" width="16.28515625" style="1" customWidth="1"/>
    <col min="12804" max="12804" width="9.140625" style="1" customWidth="1"/>
    <col min="12805" max="13055" width="9.140625" style="1"/>
    <col min="13056" max="13056" width="16" style="1" customWidth="1"/>
    <col min="13057" max="13057" width="11.5703125" style="1" customWidth="1"/>
    <col min="13058" max="13058" width="45.42578125" style="1" customWidth="1"/>
    <col min="13059" max="13059" width="16.28515625" style="1" customWidth="1"/>
    <col min="13060" max="13060" width="9.140625" style="1" customWidth="1"/>
    <col min="13061" max="13311" width="9.140625" style="1"/>
    <col min="13312" max="13312" width="16" style="1" customWidth="1"/>
    <col min="13313" max="13313" width="11.5703125" style="1" customWidth="1"/>
    <col min="13314" max="13314" width="45.42578125" style="1" customWidth="1"/>
    <col min="13315" max="13315" width="16.28515625" style="1" customWidth="1"/>
    <col min="13316" max="13316" width="9.140625" style="1" customWidth="1"/>
    <col min="13317" max="13567" width="9.140625" style="1"/>
    <col min="13568" max="13568" width="16" style="1" customWidth="1"/>
    <col min="13569" max="13569" width="11.5703125" style="1" customWidth="1"/>
    <col min="13570" max="13570" width="45.42578125" style="1" customWidth="1"/>
    <col min="13571" max="13571" width="16.28515625" style="1" customWidth="1"/>
    <col min="13572" max="13572" width="9.140625" style="1" customWidth="1"/>
    <col min="13573" max="13823" width="9.140625" style="1"/>
    <col min="13824" max="13824" width="16" style="1" customWidth="1"/>
    <col min="13825" max="13825" width="11.5703125" style="1" customWidth="1"/>
    <col min="13826" max="13826" width="45.42578125" style="1" customWidth="1"/>
    <col min="13827" max="13827" width="16.28515625" style="1" customWidth="1"/>
    <col min="13828" max="13828" width="9.140625" style="1" customWidth="1"/>
    <col min="13829" max="14079" width="9.140625" style="1"/>
    <col min="14080" max="14080" width="16" style="1" customWidth="1"/>
    <col min="14081" max="14081" width="11.5703125" style="1" customWidth="1"/>
    <col min="14082" max="14082" width="45.42578125" style="1" customWidth="1"/>
    <col min="14083" max="14083" width="16.28515625" style="1" customWidth="1"/>
    <col min="14084" max="14084" width="9.140625" style="1" customWidth="1"/>
    <col min="14085" max="14335" width="9.140625" style="1"/>
    <col min="14336" max="14336" width="16" style="1" customWidth="1"/>
    <col min="14337" max="14337" width="11.5703125" style="1" customWidth="1"/>
    <col min="14338" max="14338" width="45.42578125" style="1" customWidth="1"/>
    <col min="14339" max="14339" width="16.28515625" style="1" customWidth="1"/>
    <col min="14340" max="14340" width="9.140625" style="1" customWidth="1"/>
    <col min="14341" max="14591" width="9.140625" style="1"/>
    <col min="14592" max="14592" width="16" style="1" customWidth="1"/>
    <col min="14593" max="14593" width="11.5703125" style="1" customWidth="1"/>
    <col min="14594" max="14594" width="45.42578125" style="1" customWidth="1"/>
    <col min="14595" max="14595" width="16.28515625" style="1" customWidth="1"/>
    <col min="14596" max="14596" width="9.140625" style="1" customWidth="1"/>
    <col min="14597" max="14847" width="9.140625" style="1"/>
    <col min="14848" max="14848" width="16" style="1" customWidth="1"/>
    <col min="14849" max="14849" width="11.5703125" style="1" customWidth="1"/>
    <col min="14850" max="14850" width="45.42578125" style="1" customWidth="1"/>
    <col min="14851" max="14851" width="16.28515625" style="1" customWidth="1"/>
    <col min="14852" max="14852" width="9.140625" style="1" customWidth="1"/>
    <col min="14853" max="15103" width="9.140625" style="1"/>
    <col min="15104" max="15104" width="16" style="1" customWidth="1"/>
    <col min="15105" max="15105" width="11.5703125" style="1" customWidth="1"/>
    <col min="15106" max="15106" width="45.42578125" style="1" customWidth="1"/>
    <col min="15107" max="15107" width="16.28515625" style="1" customWidth="1"/>
    <col min="15108" max="15108" width="9.140625" style="1" customWidth="1"/>
    <col min="15109" max="15359" width="9.140625" style="1"/>
    <col min="15360" max="15360" width="16" style="1" customWidth="1"/>
    <col min="15361" max="15361" width="11.5703125" style="1" customWidth="1"/>
    <col min="15362" max="15362" width="45.42578125" style="1" customWidth="1"/>
    <col min="15363" max="15363" width="16.28515625" style="1" customWidth="1"/>
    <col min="15364" max="15364" width="9.140625" style="1" customWidth="1"/>
    <col min="15365" max="15615" width="9.140625" style="1"/>
    <col min="15616" max="15616" width="16" style="1" customWidth="1"/>
    <col min="15617" max="15617" width="11.5703125" style="1" customWidth="1"/>
    <col min="15618" max="15618" width="45.42578125" style="1" customWidth="1"/>
    <col min="15619" max="15619" width="16.28515625" style="1" customWidth="1"/>
    <col min="15620" max="15620" width="9.140625" style="1" customWidth="1"/>
    <col min="15621" max="15871" width="9.140625" style="1"/>
    <col min="15872" max="15872" width="16" style="1" customWidth="1"/>
    <col min="15873" max="15873" width="11.5703125" style="1" customWidth="1"/>
    <col min="15874" max="15874" width="45.42578125" style="1" customWidth="1"/>
    <col min="15875" max="15875" width="16.28515625" style="1" customWidth="1"/>
    <col min="15876" max="15876" width="9.140625" style="1" customWidth="1"/>
    <col min="15877" max="16127" width="9.140625" style="1"/>
    <col min="16128" max="16128" width="16" style="1" customWidth="1"/>
    <col min="16129" max="16129" width="11.5703125" style="1" customWidth="1"/>
    <col min="16130" max="16130" width="45.42578125" style="1" customWidth="1"/>
    <col min="16131" max="16131" width="16.28515625" style="1" customWidth="1"/>
    <col min="16132" max="16132" width="9.140625" style="1" customWidth="1"/>
    <col min="16133" max="16384" width="9.140625" style="1"/>
  </cols>
  <sheetData>
    <row r="2" spans="2:10" x14ac:dyDescent="0.2">
      <c r="B2" s="17" t="s">
        <v>64</v>
      </c>
    </row>
    <row r="5" spans="2:10" ht="13.5" thickBot="1" x14ac:dyDescent="0.25">
      <c r="B5" s="515" t="s">
        <v>65</v>
      </c>
      <c r="C5" s="515"/>
      <c r="D5" s="515"/>
      <c r="E5" s="515"/>
      <c r="F5" s="515"/>
    </row>
    <row r="6" spans="2:10" s="17" customFormat="1" ht="72" customHeight="1" thickTop="1" x14ac:dyDescent="0.2">
      <c r="B6" s="156" t="s">
        <v>40</v>
      </c>
      <c r="C6" s="157" t="s">
        <v>163</v>
      </c>
      <c r="D6" s="113" t="s">
        <v>136</v>
      </c>
      <c r="E6" s="158" t="s">
        <v>62</v>
      </c>
      <c r="F6" s="159" t="s">
        <v>165</v>
      </c>
    </row>
    <row r="7" spans="2:10" ht="18.75" customHeight="1" x14ac:dyDescent="0.2">
      <c r="B7" s="160">
        <v>1</v>
      </c>
      <c r="C7" s="104">
        <v>1</v>
      </c>
      <c r="D7" s="50" t="s">
        <v>137</v>
      </c>
      <c r="E7" s="307">
        <v>350</v>
      </c>
      <c r="F7" s="308">
        <f>C7*E7</f>
        <v>350</v>
      </c>
      <c r="G7" s="516"/>
      <c r="H7" s="517"/>
      <c r="I7" s="517"/>
      <c r="J7" s="517"/>
    </row>
    <row r="8" spans="2:10" ht="18.75" customHeight="1" x14ac:dyDescent="0.2">
      <c r="B8" s="160">
        <v>2</v>
      </c>
      <c r="C8" s="104">
        <v>1</v>
      </c>
      <c r="D8" s="50" t="s">
        <v>251</v>
      </c>
      <c r="E8" s="307">
        <v>147</v>
      </c>
      <c r="F8" s="308">
        <f t="shared" ref="F8" si="0">C8*E8</f>
        <v>147</v>
      </c>
      <c r="G8" s="517"/>
      <c r="H8" s="517"/>
      <c r="I8" s="517"/>
      <c r="J8" s="517"/>
    </row>
    <row r="9" spans="2:10" ht="18.75" customHeight="1" thickBot="1" x14ac:dyDescent="0.25">
      <c r="B9" s="505" t="s">
        <v>252</v>
      </c>
      <c r="C9" s="506"/>
      <c r="D9" s="506"/>
      <c r="E9" s="506"/>
      <c r="F9" s="309">
        <f>SUM(F7:F8)</f>
        <v>497</v>
      </c>
    </row>
    <row r="10" spans="2:10" ht="13.5" thickTop="1" x14ac:dyDescent="0.2">
      <c r="B10" s="1" t="s">
        <v>164</v>
      </c>
    </row>
  </sheetData>
  <mergeCells count="3">
    <mergeCell ref="B5:F5"/>
    <mergeCell ref="G7:J8"/>
    <mergeCell ref="B9:E9"/>
  </mergeCells>
  <pageMargins left="0.51181102362204722" right="0.51181102362204722" top="0.78740157480314965" bottom="0.78740157480314965" header="0.31496062992125984" footer="0.31496062992125984"/>
  <pageSetup paperSize="9" scale="86" orientation="portrait" r:id="rId1"/>
  <headerFooter>
    <oddHeader>&amp;C&amp;"English111 Vivace BT,Regular"&amp;45Supremo Tribunal Federal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5:I16"/>
  <sheetViews>
    <sheetView showGridLines="0" zoomScale="140" zoomScaleNormal="140" zoomScaleSheetLayoutView="110" workbookViewId="0">
      <selection activeCell="B6" sqref="B6"/>
    </sheetView>
  </sheetViews>
  <sheetFormatPr defaultRowHeight="15" x14ac:dyDescent="0.25"/>
  <cols>
    <col min="2" max="2" width="8" customWidth="1"/>
    <col min="3" max="3" width="12.140625" customWidth="1"/>
    <col min="4" max="4" width="36.140625" customWidth="1"/>
    <col min="5" max="5" width="9.28515625" bestFit="1" customWidth="1"/>
    <col min="6" max="6" width="15.7109375" customWidth="1"/>
    <col min="7" max="7" width="14.28515625" customWidth="1"/>
    <col min="8" max="8" width="18.42578125" customWidth="1"/>
    <col min="9" max="9" width="27.28515625" customWidth="1"/>
  </cols>
  <sheetData>
    <row r="5" spans="2:9" ht="30.75" customHeight="1" thickBot="1" x14ac:dyDescent="0.3">
      <c r="B5" s="518" t="s">
        <v>132</v>
      </c>
      <c r="C5" s="519"/>
      <c r="D5" s="519"/>
      <c r="E5" s="519"/>
      <c r="F5" s="519"/>
      <c r="G5" s="519"/>
      <c r="H5" s="519"/>
      <c r="I5" s="519"/>
    </row>
    <row r="6" spans="2:9" ht="57.75" customHeight="1" thickTop="1" x14ac:dyDescent="0.25">
      <c r="B6" s="156" t="s">
        <v>40</v>
      </c>
      <c r="C6" s="158" t="s">
        <v>51</v>
      </c>
      <c r="D6" s="158" t="s">
        <v>136</v>
      </c>
      <c r="E6" s="158" t="s">
        <v>133</v>
      </c>
      <c r="F6" s="158" t="s">
        <v>134</v>
      </c>
      <c r="G6" s="162" t="s">
        <v>62</v>
      </c>
      <c r="H6" s="158" t="s">
        <v>167</v>
      </c>
      <c r="I6" s="159" t="s">
        <v>135</v>
      </c>
    </row>
    <row r="7" spans="2:9" ht="18.75" customHeight="1" x14ac:dyDescent="0.25">
      <c r="B7" s="300">
        <v>1</v>
      </c>
      <c r="C7" s="301">
        <v>30</v>
      </c>
      <c r="D7" s="302" t="s">
        <v>253</v>
      </c>
      <c r="E7" s="303">
        <v>10</v>
      </c>
      <c r="F7" s="304">
        <v>0.1</v>
      </c>
      <c r="G7" s="307">
        <v>7490</v>
      </c>
      <c r="H7" s="307">
        <f>G7*C7</f>
        <v>224700</v>
      </c>
      <c r="I7" s="299">
        <f>H7/E7</f>
        <v>22470</v>
      </c>
    </row>
    <row r="8" spans="2:9" ht="18.75" customHeight="1" x14ac:dyDescent="0.25">
      <c r="B8" s="300">
        <v>2</v>
      </c>
      <c r="C8" s="301">
        <f>C7</f>
        <v>30</v>
      </c>
      <c r="D8" s="305" t="s">
        <v>128</v>
      </c>
      <c r="E8" s="303">
        <v>10</v>
      </c>
      <c r="F8" s="304">
        <v>0.1</v>
      </c>
      <c r="G8" s="307">
        <v>216.32</v>
      </c>
      <c r="H8" s="307">
        <f t="shared" ref="H8:H10" si="0">G8*C8</f>
        <v>6489.5999999999995</v>
      </c>
      <c r="I8" s="299">
        <f t="shared" ref="I8:I14" si="1">H8/E8</f>
        <v>648.95999999999992</v>
      </c>
    </row>
    <row r="9" spans="2:9" ht="18.75" customHeight="1" x14ac:dyDescent="0.25">
      <c r="B9" s="300">
        <v>3</v>
      </c>
      <c r="C9" s="301">
        <f>C7</f>
        <v>30</v>
      </c>
      <c r="D9" s="305" t="s">
        <v>129</v>
      </c>
      <c r="E9" s="303">
        <v>10</v>
      </c>
      <c r="F9" s="304">
        <v>0.1</v>
      </c>
      <c r="G9" s="307">
        <v>68.89</v>
      </c>
      <c r="H9" s="307">
        <f t="shared" si="0"/>
        <v>2066.6999999999998</v>
      </c>
      <c r="I9" s="299">
        <f t="shared" si="1"/>
        <v>206.67</v>
      </c>
    </row>
    <row r="10" spans="2:9" ht="18.75" customHeight="1" x14ac:dyDescent="0.25">
      <c r="B10" s="300">
        <v>4</v>
      </c>
      <c r="C10" s="301">
        <f>C7*30</f>
        <v>900</v>
      </c>
      <c r="D10" s="305" t="s">
        <v>254</v>
      </c>
      <c r="E10" s="303">
        <v>1</v>
      </c>
      <c r="F10" s="304">
        <v>1</v>
      </c>
      <c r="G10" s="307">
        <v>16.190000000000001</v>
      </c>
      <c r="H10" s="307">
        <f t="shared" si="0"/>
        <v>14571.000000000002</v>
      </c>
      <c r="I10" s="299">
        <f t="shared" si="1"/>
        <v>14571.000000000002</v>
      </c>
    </row>
    <row r="11" spans="2:9" ht="18.75" customHeight="1" x14ac:dyDescent="0.25">
      <c r="B11" s="300">
        <v>5</v>
      </c>
      <c r="C11" s="306">
        <f>C7</f>
        <v>30</v>
      </c>
      <c r="D11" s="305" t="s">
        <v>130</v>
      </c>
      <c r="E11" s="303">
        <v>5</v>
      </c>
      <c r="F11" s="304">
        <v>0.2</v>
      </c>
      <c r="G11" s="307">
        <v>99.65</v>
      </c>
      <c r="H11" s="307">
        <f>G11*C11</f>
        <v>2989.5</v>
      </c>
      <c r="I11" s="299">
        <f t="shared" si="1"/>
        <v>597.9</v>
      </c>
    </row>
    <row r="12" spans="2:9" ht="18.75" customHeight="1" x14ac:dyDescent="0.25">
      <c r="B12" s="300">
        <v>6</v>
      </c>
      <c r="C12" s="306">
        <v>42</v>
      </c>
      <c r="D12" s="305" t="s">
        <v>131</v>
      </c>
      <c r="E12" s="303">
        <v>5</v>
      </c>
      <c r="F12" s="304">
        <v>0.2</v>
      </c>
      <c r="G12" s="307">
        <v>359.99</v>
      </c>
      <c r="H12" s="307">
        <f>C12*G12</f>
        <v>15119.58</v>
      </c>
      <c r="I12" s="299">
        <f t="shared" si="1"/>
        <v>3023.9160000000002</v>
      </c>
    </row>
    <row r="13" spans="2:9" ht="18.75" customHeight="1" x14ac:dyDescent="0.25">
      <c r="B13" s="300">
        <v>7</v>
      </c>
      <c r="C13" s="306">
        <v>42</v>
      </c>
      <c r="D13" s="305" t="s">
        <v>255</v>
      </c>
      <c r="E13" s="303">
        <v>5</v>
      </c>
      <c r="F13" s="304">
        <v>0.2</v>
      </c>
      <c r="G13" s="307">
        <v>183.29</v>
      </c>
      <c r="H13" s="307">
        <f>C13*G13</f>
        <v>7698.1799999999994</v>
      </c>
      <c r="I13" s="299">
        <f t="shared" si="1"/>
        <v>1539.636</v>
      </c>
    </row>
    <row r="14" spans="2:9" ht="18.75" customHeight="1" x14ac:dyDescent="0.25">
      <c r="B14" s="300">
        <v>8</v>
      </c>
      <c r="C14" s="306">
        <v>4</v>
      </c>
      <c r="D14" s="305" t="s">
        <v>256</v>
      </c>
      <c r="E14" s="303">
        <v>5</v>
      </c>
      <c r="F14" s="304">
        <v>0.2</v>
      </c>
      <c r="G14" s="307">
        <v>173.25</v>
      </c>
      <c r="H14" s="307">
        <f>G14*C14</f>
        <v>693</v>
      </c>
      <c r="I14" s="299">
        <f t="shared" si="1"/>
        <v>138.6</v>
      </c>
    </row>
    <row r="15" spans="2:9" ht="23.25" customHeight="1" thickBot="1" x14ac:dyDescent="0.3">
      <c r="B15" s="520" t="s">
        <v>166</v>
      </c>
      <c r="C15" s="521"/>
      <c r="D15" s="521"/>
      <c r="E15" s="521"/>
      <c r="F15" s="521"/>
      <c r="G15" s="521"/>
      <c r="H15" s="522"/>
      <c r="I15" s="324">
        <f>SUM(I7:I14)</f>
        <v>43196.681999999993</v>
      </c>
    </row>
    <row r="16" spans="2:9" ht="15.75" thickTop="1" x14ac:dyDescent="0.25"/>
  </sheetData>
  <mergeCells count="2">
    <mergeCell ref="B5:I5"/>
    <mergeCell ref="B15:H15"/>
  </mergeCells>
  <pageMargins left="0.511811024" right="0.511811024" top="0.78740157499999996" bottom="0.78740157499999996" header="0.31496062000000002" footer="0.31496062000000002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3:R40"/>
  <sheetViews>
    <sheetView showGridLines="0" zoomScale="87" zoomScaleNormal="87" zoomScaleSheetLayoutView="80" zoomScalePageLayoutView="70" workbookViewId="0">
      <selection activeCell="B5" sqref="B5:B9"/>
    </sheetView>
  </sheetViews>
  <sheetFormatPr defaultRowHeight="15" x14ac:dyDescent="0.2"/>
  <cols>
    <col min="1" max="1" width="9.140625" style="126"/>
    <col min="2" max="2" width="25" style="126" customWidth="1"/>
    <col min="3" max="3" width="18.42578125" style="126" customWidth="1"/>
    <col min="4" max="4" width="15.140625" style="126" customWidth="1"/>
    <col min="5" max="5" width="14.28515625" style="126" customWidth="1"/>
    <col min="6" max="6" width="19.28515625" style="126" bestFit="1" customWidth="1"/>
    <col min="7" max="8" width="17.85546875" style="126" customWidth="1"/>
    <col min="9" max="9" width="20.42578125" style="126" customWidth="1"/>
    <col min="10" max="10" width="21.140625" style="126" customWidth="1"/>
    <col min="11" max="11" width="17.140625" style="126" customWidth="1"/>
    <col min="12" max="12" width="26.28515625" style="126" bestFit="1" customWidth="1"/>
    <col min="13" max="13" width="22.28515625" style="126" bestFit="1" customWidth="1"/>
    <col min="14" max="14" width="16.7109375" style="126" customWidth="1"/>
    <col min="15" max="15" width="19.28515625" style="126" customWidth="1"/>
    <col min="16" max="16" width="26.85546875" style="126" customWidth="1"/>
    <col min="17" max="17" width="23.28515625" style="126" customWidth="1"/>
    <col min="18" max="18" width="25.140625" style="126" customWidth="1"/>
    <col min="19" max="19" width="9.140625" style="126"/>
    <col min="20" max="20" width="21.140625" style="126" bestFit="1" customWidth="1"/>
    <col min="21" max="16384" width="9.140625" style="126"/>
  </cols>
  <sheetData>
    <row r="3" spans="2:18" x14ac:dyDescent="0.2">
      <c r="B3" s="523" t="s">
        <v>147</v>
      </c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</row>
    <row r="4" spans="2:18" ht="15.75" customHeight="1" thickBot="1" x14ac:dyDescent="0.25">
      <c r="B4" s="523"/>
      <c r="C4" s="523"/>
      <c r="D4" s="523"/>
      <c r="E4" s="523"/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127"/>
      <c r="Q4" s="127"/>
      <c r="R4" s="127"/>
    </row>
    <row r="5" spans="2:18" ht="32.25" customHeight="1" thickTop="1" x14ac:dyDescent="0.2">
      <c r="B5" s="524" t="s">
        <v>143</v>
      </c>
      <c r="C5" s="526" t="s">
        <v>1</v>
      </c>
      <c r="D5" s="526"/>
      <c r="E5" s="526"/>
      <c r="F5" s="526"/>
      <c r="G5" s="526"/>
      <c r="H5" s="526"/>
      <c r="I5" s="526" t="s">
        <v>2</v>
      </c>
      <c r="J5" s="526"/>
      <c r="K5" s="526"/>
      <c r="L5" s="527" t="s">
        <v>148</v>
      </c>
      <c r="M5" s="527" t="s">
        <v>149</v>
      </c>
      <c r="N5" s="527" t="s">
        <v>3</v>
      </c>
      <c r="O5" s="529" t="s">
        <v>150</v>
      </c>
      <c r="P5" s="136"/>
    </row>
    <row r="6" spans="2:18" ht="101.25" customHeight="1" x14ac:dyDescent="0.2">
      <c r="B6" s="525"/>
      <c r="C6" s="528" t="s">
        <v>60</v>
      </c>
      <c r="D6" s="528" t="s">
        <v>151</v>
      </c>
      <c r="E6" s="528" t="s">
        <v>152</v>
      </c>
      <c r="F6" s="528" t="s">
        <v>153</v>
      </c>
      <c r="G6" s="528" t="s">
        <v>154</v>
      </c>
      <c r="H6" s="528" t="s">
        <v>155</v>
      </c>
      <c r="I6" s="528" t="s">
        <v>156</v>
      </c>
      <c r="J6" s="528" t="s">
        <v>157</v>
      </c>
      <c r="K6" s="528" t="s">
        <v>158</v>
      </c>
      <c r="L6" s="528"/>
      <c r="M6" s="528"/>
      <c r="N6" s="528"/>
      <c r="O6" s="530"/>
      <c r="P6" s="136"/>
    </row>
    <row r="7" spans="2:18" ht="18" customHeight="1" x14ac:dyDescent="0.2">
      <c r="B7" s="525"/>
      <c r="C7" s="528"/>
      <c r="D7" s="528"/>
      <c r="E7" s="528"/>
      <c r="F7" s="528"/>
      <c r="G7" s="528"/>
      <c r="H7" s="528"/>
      <c r="I7" s="528"/>
      <c r="J7" s="528"/>
      <c r="K7" s="528"/>
      <c r="L7" s="528"/>
      <c r="M7" s="528"/>
      <c r="N7" s="528"/>
      <c r="O7" s="530"/>
      <c r="P7" s="136"/>
    </row>
    <row r="8" spans="2:18" ht="50.25" customHeight="1" x14ac:dyDescent="0.2">
      <c r="B8" s="525"/>
      <c r="C8" s="528"/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528"/>
      <c r="O8" s="530"/>
      <c r="P8" s="136"/>
    </row>
    <row r="9" spans="2:18" ht="42.75" customHeight="1" x14ac:dyDescent="0.2">
      <c r="B9" s="525"/>
      <c r="C9" s="528"/>
      <c r="D9" s="128">
        <f>'Encargos Sociais'!D18</f>
        <v>8.3299999999999999E-2</v>
      </c>
      <c r="E9" s="128">
        <f>'Encargos Sociais'!D19</f>
        <v>8.3299999999999999E-2</v>
      </c>
      <c r="F9" s="128">
        <f>'Encargos Sociais'!D20</f>
        <v>2.7799999999999998E-2</v>
      </c>
      <c r="G9" s="170">
        <f>'Encargos Sociais'!D15</f>
        <v>0.39800000000000008</v>
      </c>
      <c r="H9" s="528"/>
      <c r="I9" s="128" t="s">
        <v>53</v>
      </c>
      <c r="J9" s="128" t="s">
        <v>53</v>
      </c>
      <c r="K9" s="528"/>
      <c r="L9" s="528"/>
      <c r="M9" s="129">
        <f>'Encargos Sociais'!J14</f>
        <v>0.22988505747126453</v>
      </c>
      <c r="N9" s="528"/>
      <c r="O9" s="530"/>
    </row>
    <row r="10" spans="2:18" ht="21" customHeight="1" x14ac:dyDescent="0.2">
      <c r="B10" s="141" t="str">
        <f>PlanilhaConsolidada!C8</f>
        <v>Diurno</v>
      </c>
      <c r="C10" s="137">
        <f>PlanilhaConsolidada!I8</f>
        <v>5879.73</v>
      </c>
      <c r="D10" s="138">
        <f>C10*$D$9</f>
        <v>489.78150899999997</v>
      </c>
      <c r="E10" s="138">
        <f>C10*$E$9</f>
        <v>489.78150899999997</v>
      </c>
      <c r="F10" s="130">
        <f>$F$9*C10</f>
        <v>163.45649399999999</v>
      </c>
      <c r="G10" s="130">
        <f>($G$9*D10)+(E10*$G$9)</f>
        <v>389.86608116400004</v>
      </c>
      <c r="H10" s="130">
        <f>C10+D10+F10+G10+E10</f>
        <v>7412.6155931640005</v>
      </c>
      <c r="I10" s="130">
        <f>'HORAS,VT,Vl'!P6</f>
        <v>633.62389999999994</v>
      </c>
      <c r="J10" s="130">
        <f>'HORAS,VT,Vl'!$I$30</f>
        <v>0</v>
      </c>
      <c r="K10" s="130">
        <f>I10+J10</f>
        <v>633.62389999999994</v>
      </c>
      <c r="L10" s="130">
        <f>H10+K10</f>
        <v>8046.2394931640001</v>
      </c>
      <c r="M10" s="130">
        <f>L10*$M$9</f>
        <v>1849.7102283135646</v>
      </c>
      <c r="N10" s="130">
        <f>L10+M10</f>
        <v>9895.9497214775656</v>
      </c>
      <c r="O10" s="131">
        <f>N10/30</f>
        <v>329.86499071591885</v>
      </c>
      <c r="P10" s="132"/>
    </row>
    <row r="11" spans="2:18" ht="21" customHeight="1" x14ac:dyDescent="0.2">
      <c r="B11" s="141" t="str">
        <f>PlanilhaConsolidada!C9</f>
        <v>Noturno</v>
      </c>
      <c r="C11" s="137">
        <f>PlanilhaConsolidada!I9</f>
        <v>6521.1550909090902</v>
      </c>
      <c r="D11" s="138">
        <f>C11*$D$9</f>
        <v>543.21221907272718</v>
      </c>
      <c r="E11" s="138">
        <f t="shared" ref="E11:E16" si="0">C11*$E$9</f>
        <v>543.21221907272718</v>
      </c>
      <c r="F11" s="130">
        <f t="shared" ref="F11:F16" si="1">$F$9*C11</f>
        <v>181.28811152727269</v>
      </c>
      <c r="G11" s="130">
        <f t="shared" ref="G11:G16" si="2">($G$9*D11)+(E11*$G$9)</f>
        <v>432.39692638189092</v>
      </c>
      <c r="H11" s="130">
        <f t="shared" ref="H11:H16" si="3">C11+D11+F11+G11+E11</f>
        <v>8221.2645669637077</v>
      </c>
      <c r="I11" s="130">
        <f>'HORAS,VT,Vl'!P6</f>
        <v>633.62389999999994</v>
      </c>
      <c r="J11" s="130">
        <f>'HORAS,VT,Vl'!$I$30</f>
        <v>0</v>
      </c>
      <c r="K11" s="130">
        <f t="shared" ref="K11:K16" si="4">I11+J11</f>
        <v>633.62389999999994</v>
      </c>
      <c r="L11" s="130">
        <f t="shared" ref="L11:L16" si="5">H11+K11</f>
        <v>8854.8884669637082</v>
      </c>
      <c r="M11" s="130">
        <f t="shared" ref="M11:M16" si="6">L11*$M$9</f>
        <v>2035.6065441295896</v>
      </c>
      <c r="N11" s="130">
        <f t="shared" ref="N11:N16" si="7">L11+M11</f>
        <v>10890.495011093299</v>
      </c>
      <c r="O11" s="131">
        <f t="shared" ref="O11:O16" si="8">N11/30</f>
        <v>363.01650036977662</v>
      </c>
    </row>
    <row r="12" spans="2:18" ht="21" customHeight="1" x14ac:dyDescent="0.2">
      <c r="B12" s="141" t="str">
        <f>PlanilhaConsolidada!C10</f>
        <v>05h às 22h*</v>
      </c>
      <c r="C12" s="137">
        <f>PlanilhaConsolidada!I10</f>
        <v>5879.73</v>
      </c>
      <c r="D12" s="138">
        <f t="shared" ref="D12:D16" si="9">C12*$D$9</f>
        <v>489.78150899999997</v>
      </c>
      <c r="E12" s="138">
        <f t="shared" si="0"/>
        <v>489.78150899999997</v>
      </c>
      <c r="F12" s="130">
        <f t="shared" si="1"/>
        <v>163.45649399999999</v>
      </c>
      <c r="G12" s="130">
        <f t="shared" si="2"/>
        <v>389.86608116400004</v>
      </c>
      <c r="H12" s="130">
        <f t="shared" si="3"/>
        <v>7412.6155931640005</v>
      </c>
      <c r="I12" s="139">
        <f>'HORAS,VT,Vl'!$P$7</f>
        <v>856.43670000000009</v>
      </c>
      <c r="J12" s="139">
        <f>'HORAS,VT,Vl'!$I$31</f>
        <v>0</v>
      </c>
      <c r="K12" s="130">
        <f t="shared" si="4"/>
        <v>856.43670000000009</v>
      </c>
      <c r="L12" s="130">
        <f t="shared" si="5"/>
        <v>8269.0522931640007</v>
      </c>
      <c r="M12" s="130">
        <f t="shared" si="6"/>
        <v>1900.931561646898</v>
      </c>
      <c r="N12" s="130">
        <f t="shared" si="7"/>
        <v>10169.983854810898</v>
      </c>
      <c r="O12" s="131">
        <f t="shared" si="8"/>
        <v>338.99946182702996</v>
      </c>
    </row>
    <row r="13" spans="2:18" ht="21" customHeight="1" x14ac:dyDescent="0.2">
      <c r="B13" s="141" t="str">
        <f>PlanilhaConsolidada!C11</f>
        <v>13h às 23h</v>
      </c>
      <c r="C13" s="137">
        <f>PlanilhaConsolidada!I11</f>
        <v>6014.123828571428</v>
      </c>
      <c r="D13" s="138">
        <f t="shared" si="9"/>
        <v>500.97651491999994</v>
      </c>
      <c r="E13" s="138">
        <f t="shared" si="0"/>
        <v>500.97651491999994</v>
      </c>
      <c r="F13" s="130">
        <f t="shared" si="1"/>
        <v>167.19264243428569</v>
      </c>
      <c r="G13" s="130">
        <f t="shared" si="2"/>
        <v>398.77730587632004</v>
      </c>
      <c r="H13" s="130">
        <f t="shared" si="3"/>
        <v>7582.0468067220345</v>
      </c>
      <c r="I13" s="139">
        <f>'HORAS,VT,Vl'!$P$7</f>
        <v>856.43670000000009</v>
      </c>
      <c r="J13" s="139">
        <f>'HORAS,VT,Vl'!$I$31</f>
        <v>0</v>
      </c>
      <c r="K13" s="130">
        <f t="shared" si="4"/>
        <v>856.43670000000009</v>
      </c>
      <c r="L13" s="130">
        <f t="shared" si="5"/>
        <v>8438.4835067220338</v>
      </c>
      <c r="M13" s="130">
        <f t="shared" si="6"/>
        <v>1939.8812659131127</v>
      </c>
      <c r="N13" s="130">
        <f t="shared" si="7"/>
        <v>10378.364772635146</v>
      </c>
      <c r="O13" s="131">
        <f t="shared" si="8"/>
        <v>345.94549242117154</v>
      </c>
      <c r="R13" s="132"/>
    </row>
    <row r="14" spans="2:18" ht="21" customHeight="1" x14ac:dyDescent="0.2">
      <c r="B14" s="141" t="str">
        <f>PlanilhaConsolidada!C12</f>
        <v>15h às 01h</v>
      </c>
      <c r="C14" s="137">
        <f>PlanilhaConsolidada!I12</f>
        <v>6282.9114857142849</v>
      </c>
      <c r="D14" s="138">
        <f t="shared" si="9"/>
        <v>523.36652675999994</v>
      </c>
      <c r="E14" s="138">
        <f t="shared" si="0"/>
        <v>523.36652675999994</v>
      </c>
      <c r="F14" s="130">
        <f t="shared" si="1"/>
        <v>174.66493930285711</v>
      </c>
      <c r="G14" s="130">
        <f t="shared" si="2"/>
        <v>416.59975530096006</v>
      </c>
      <c r="H14" s="130">
        <f t="shared" si="3"/>
        <v>7920.9092338381024</v>
      </c>
      <c r="I14" s="139">
        <f>'HORAS,VT,Vl'!$P$7</f>
        <v>856.43670000000009</v>
      </c>
      <c r="J14" s="139">
        <f>'HORAS,VT,Vl'!$I$31</f>
        <v>0</v>
      </c>
      <c r="K14" s="130">
        <f t="shared" si="4"/>
        <v>856.43670000000009</v>
      </c>
      <c r="L14" s="130">
        <f t="shared" si="5"/>
        <v>8777.3459338381017</v>
      </c>
      <c r="M14" s="130">
        <f t="shared" si="6"/>
        <v>2017.780674445542</v>
      </c>
      <c r="N14" s="130">
        <f t="shared" si="7"/>
        <v>10795.126608283645</v>
      </c>
      <c r="O14" s="131">
        <f t="shared" si="8"/>
        <v>359.8375536094548</v>
      </c>
      <c r="Q14" s="135"/>
    </row>
    <row r="15" spans="2:18" ht="21" customHeight="1" x14ac:dyDescent="0.2">
      <c r="B15" s="141" t="str">
        <f>PlanilhaConsolidada!C13</f>
        <v>19h às 05h</v>
      </c>
      <c r="C15" s="137">
        <f>PlanilhaConsolidada!I13</f>
        <v>6820.4867999999997</v>
      </c>
      <c r="D15" s="138">
        <f t="shared" si="9"/>
        <v>568.14655043999994</v>
      </c>
      <c r="E15" s="138">
        <f t="shared" si="0"/>
        <v>568.14655043999994</v>
      </c>
      <c r="F15" s="130">
        <f t="shared" si="1"/>
        <v>189.60953303999997</v>
      </c>
      <c r="G15" s="130">
        <f t="shared" si="2"/>
        <v>452.24465415024002</v>
      </c>
      <c r="H15" s="130">
        <f t="shared" si="3"/>
        <v>8598.634088070241</v>
      </c>
      <c r="I15" s="139">
        <f>'HORAS,VT,Vl'!$P$7</f>
        <v>856.43670000000009</v>
      </c>
      <c r="J15" s="139">
        <f>'HORAS,VT,Vl'!$I$31</f>
        <v>0</v>
      </c>
      <c r="K15" s="130">
        <f t="shared" si="4"/>
        <v>856.43670000000009</v>
      </c>
      <c r="L15" s="130">
        <f t="shared" si="5"/>
        <v>9455.0707880702412</v>
      </c>
      <c r="M15" s="130">
        <f t="shared" si="6"/>
        <v>2173.579491510402</v>
      </c>
      <c r="N15" s="130">
        <f t="shared" si="7"/>
        <v>11628.650279580643</v>
      </c>
      <c r="O15" s="131">
        <f t="shared" si="8"/>
        <v>387.62167598602144</v>
      </c>
      <c r="Q15" s="135"/>
    </row>
    <row r="16" spans="2:18" ht="21" customHeight="1" thickBot="1" x14ac:dyDescent="0.25">
      <c r="B16" s="167" t="str">
        <f>PlanilhaConsolidada!C14</f>
        <v>21h às 07h</v>
      </c>
      <c r="C16" s="168">
        <f>PlanilhaConsolidada!I14</f>
        <v>6820.4867999999997</v>
      </c>
      <c r="D16" s="133">
        <f t="shared" si="9"/>
        <v>568.14655043999994</v>
      </c>
      <c r="E16" s="133">
        <f t="shared" si="0"/>
        <v>568.14655043999994</v>
      </c>
      <c r="F16" s="134">
        <f t="shared" si="1"/>
        <v>189.60953303999997</v>
      </c>
      <c r="G16" s="134">
        <f t="shared" si="2"/>
        <v>452.24465415024002</v>
      </c>
      <c r="H16" s="134">
        <f t="shared" si="3"/>
        <v>8598.634088070241</v>
      </c>
      <c r="I16" s="142">
        <f>'HORAS,VT,Vl'!$P$7</f>
        <v>856.43670000000009</v>
      </c>
      <c r="J16" s="142">
        <f>'HORAS,VT,Vl'!$I$31</f>
        <v>0</v>
      </c>
      <c r="K16" s="134">
        <f t="shared" si="4"/>
        <v>856.43670000000009</v>
      </c>
      <c r="L16" s="134">
        <f t="shared" si="5"/>
        <v>9455.0707880702412</v>
      </c>
      <c r="M16" s="134">
        <f t="shared" si="6"/>
        <v>2173.579491510402</v>
      </c>
      <c r="N16" s="134">
        <f t="shared" si="7"/>
        <v>11628.650279580643</v>
      </c>
      <c r="O16" s="143">
        <f t="shared" si="8"/>
        <v>387.62167598602144</v>
      </c>
    </row>
    <row r="17" spans="2:8" ht="15.75" customHeight="1" thickTop="1" x14ac:dyDescent="0.2">
      <c r="B17" s="531"/>
      <c r="C17" s="531"/>
      <c r="D17" s="531"/>
      <c r="E17" s="531"/>
      <c r="F17" s="531"/>
    </row>
    <row r="18" spans="2:8" ht="15" customHeight="1" x14ac:dyDescent="0.2"/>
    <row r="19" spans="2:8" ht="15" customHeight="1" x14ac:dyDescent="0.2"/>
    <row r="20" spans="2:8" ht="15" customHeight="1" x14ac:dyDescent="0.2"/>
    <row r="21" spans="2:8" ht="15" customHeight="1" x14ac:dyDescent="0.2"/>
    <row r="23" spans="2:8" ht="15.75" customHeight="1" x14ac:dyDescent="0.2"/>
    <row r="24" spans="2:8" ht="15.75" customHeight="1" x14ac:dyDescent="0.2"/>
    <row r="25" spans="2:8" ht="15.75" customHeight="1" x14ac:dyDescent="0.2"/>
    <row r="26" spans="2:8" ht="15" customHeight="1" x14ac:dyDescent="0.2"/>
    <row r="27" spans="2:8" ht="15" customHeight="1" x14ac:dyDescent="0.2"/>
    <row r="28" spans="2:8" ht="36" customHeight="1" x14ac:dyDescent="0.2"/>
    <row r="29" spans="2:8" ht="39.75" customHeight="1" x14ac:dyDescent="0.2"/>
    <row r="30" spans="2:8" x14ac:dyDescent="0.2">
      <c r="H30" s="136"/>
    </row>
    <row r="31" spans="2:8" ht="42" customHeight="1" x14ac:dyDescent="0.2"/>
    <row r="32" spans="2:8" ht="56.25" customHeight="1" x14ac:dyDescent="0.2"/>
    <row r="33" ht="45.75" customHeight="1" x14ac:dyDescent="0.2"/>
    <row r="34" ht="38.25" customHeight="1" x14ac:dyDescent="0.2"/>
    <row r="35" ht="41.25" customHeight="1" x14ac:dyDescent="0.2"/>
    <row r="36" ht="34.5" customHeight="1" x14ac:dyDescent="0.2"/>
    <row r="38" ht="36.75" customHeight="1" x14ac:dyDescent="0.2"/>
    <row r="39" ht="20.25" customHeight="1" x14ac:dyDescent="0.2"/>
    <row r="40" ht="24" customHeight="1" x14ac:dyDescent="0.2"/>
  </sheetData>
  <mergeCells count="18">
    <mergeCell ref="B17:F17"/>
    <mergeCell ref="E6:E8"/>
    <mergeCell ref="F6:F8"/>
    <mergeCell ref="G6:G8"/>
    <mergeCell ref="H6:H9"/>
    <mergeCell ref="B3:O4"/>
    <mergeCell ref="B5:B9"/>
    <mergeCell ref="C5:H5"/>
    <mergeCell ref="I5:K5"/>
    <mergeCell ref="L5:L9"/>
    <mergeCell ref="M5:M8"/>
    <mergeCell ref="N5:N9"/>
    <mergeCell ref="O5:O9"/>
    <mergeCell ref="C6:C9"/>
    <mergeCell ref="D6:D8"/>
    <mergeCell ref="K6:K9"/>
    <mergeCell ref="I6:I8"/>
    <mergeCell ref="J6:J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47" orientation="landscape" r:id="rId1"/>
  <headerFooter alignWithMargins="0">
    <oddHeader xml:space="preserve">&amp;C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M74"/>
  <sheetViews>
    <sheetView showGridLines="0" zoomScale="90" zoomScaleNormal="90" zoomScaleSheetLayoutView="80" workbookViewId="0">
      <selection activeCell="J28" sqref="J28"/>
    </sheetView>
  </sheetViews>
  <sheetFormatPr defaultRowHeight="12.75" x14ac:dyDescent="0.2"/>
  <cols>
    <col min="1" max="1" width="9.140625" style="71"/>
    <col min="2" max="2" width="9.5703125" style="71" customWidth="1"/>
    <col min="3" max="3" width="68" style="71" customWidth="1"/>
    <col min="4" max="4" width="13.28515625" style="71" customWidth="1"/>
    <col min="5" max="5" width="12.140625" style="71" customWidth="1"/>
    <col min="6" max="6" width="4.140625" style="71" customWidth="1"/>
    <col min="7" max="7" width="42.140625" style="71" customWidth="1"/>
    <col min="8" max="8" width="15.42578125" style="71" customWidth="1"/>
    <col min="9" max="9" width="9.140625" style="71"/>
    <col min="10" max="10" width="14.28515625" style="71" customWidth="1"/>
    <col min="11" max="12" width="9.140625" style="71"/>
    <col min="13" max="13" width="10.85546875" style="71" bestFit="1" customWidth="1"/>
    <col min="14" max="256" width="9.140625" style="71"/>
    <col min="257" max="257" width="9.5703125" style="71" customWidth="1"/>
    <col min="258" max="258" width="51.5703125" style="71" customWidth="1"/>
    <col min="259" max="259" width="13.28515625" style="71" customWidth="1"/>
    <col min="260" max="260" width="12.140625" style="71" customWidth="1"/>
    <col min="261" max="261" width="4.140625" style="71" customWidth="1"/>
    <col min="262" max="262" width="42.140625" style="71" customWidth="1"/>
    <col min="263" max="263" width="15.42578125" style="71" customWidth="1"/>
    <col min="264" max="264" width="9.140625" style="71"/>
    <col min="265" max="265" width="14.28515625" style="71" customWidth="1"/>
    <col min="266" max="266" width="15.42578125" style="71" customWidth="1"/>
    <col min="267" max="512" width="9.140625" style="71"/>
    <col min="513" max="513" width="9.5703125" style="71" customWidth="1"/>
    <col min="514" max="514" width="51.5703125" style="71" customWidth="1"/>
    <col min="515" max="515" width="13.28515625" style="71" customWidth="1"/>
    <col min="516" max="516" width="12.140625" style="71" customWidth="1"/>
    <col min="517" max="517" width="4.140625" style="71" customWidth="1"/>
    <col min="518" max="518" width="42.140625" style="71" customWidth="1"/>
    <col min="519" max="519" width="15.42578125" style="71" customWidth="1"/>
    <col min="520" max="520" width="9.140625" style="71"/>
    <col min="521" max="521" width="14.28515625" style="71" customWidth="1"/>
    <col min="522" max="522" width="15.42578125" style="71" customWidth="1"/>
    <col min="523" max="768" width="9.140625" style="71"/>
    <col min="769" max="769" width="9.5703125" style="71" customWidth="1"/>
    <col min="770" max="770" width="51.5703125" style="71" customWidth="1"/>
    <col min="771" max="771" width="13.28515625" style="71" customWidth="1"/>
    <col min="772" max="772" width="12.140625" style="71" customWidth="1"/>
    <col min="773" max="773" width="4.140625" style="71" customWidth="1"/>
    <col min="774" max="774" width="42.140625" style="71" customWidth="1"/>
    <col min="775" max="775" width="15.42578125" style="71" customWidth="1"/>
    <col min="776" max="776" width="9.140625" style="71"/>
    <col min="777" max="777" width="14.28515625" style="71" customWidth="1"/>
    <col min="778" max="778" width="15.42578125" style="71" customWidth="1"/>
    <col min="779" max="1024" width="9.140625" style="71"/>
    <col min="1025" max="1025" width="9.5703125" style="71" customWidth="1"/>
    <col min="1026" max="1026" width="51.5703125" style="71" customWidth="1"/>
    <col min="1027" max="1027" width="13.28515625" style="71" customWidth="1"/>
    <col min="1028" max="1028" width="12.140625" style="71" customWidth="1"/>
    <col min="1029" max="1029" width="4.140625" style="71" customWidth="1"/>
    <col min="1030" max="1030" width="42.140625" style="71" customWidth="1"/>
    <col min="1031" max="1031" width="15.42578125" style="71" customWidth="1"/>
    <col min="1032" max="1032" width="9.140625" style="71"/>
    <col min="1033" max="1033" width="14.28515625" style="71" customWidth="1"/>
    <col min="1034" max="1034" width="15.42578125" style="71" customWidth="1"/>
    <col min="1035" max="1280" width="9.140625" style="71"/>
    <col min="1281" max="1281" width="9.5703125" style="71" customWidth="1"/>
    <col min="1282" max="1282" width="51.5703125" style="71" customWidth="1"/>
    <col min="1283" max="1283" width="13.28515625" style="71" customWidth="1"/>
    <col min="1284" max="1284" width="12.140625" style="71" customWidth="1"/>
    <col min="1285" max="1285" width="4.140625" style="71" customWidth="1"/>
    <col min="1286" max="1286" width="42.140625" style="71" customWidth="1"/>
    <col min="1287" max="1287" width="15.42578125" style="71" customWidth="1"/>
    <col min="1288" max="1288" width="9.140625" style="71"/>
    <col min="1289" max="1289" width="14.28515625" style="71" customWidth="1"/>
    <col min="1290" max="1290" width="15.42578125" style="71" customWidth="1"/>
    <col min="1291" max="1536" width="9.140625" style="71"/>
    <col min="1537" max="1537" width="9.5703125" style="71" customWidth="1"/>
    <col min="1538" max="1538" width="51.5703125" style="71" customWidth="1"/>
    <col min="1539" max="1539" width="13.28515625" style="71" customWidth="1"/>
    <col min="1540" max="1540" width="12.140625" style="71" customWidth="1"/>
    <col min="1541" max="1541" width="4.140625" style="71" customWidth="1"/>
    <col min="1542" max="1542" width="42.140625" style="71" customWidth="1"/>
    <col min="1543" max="1543" width="15.42578125" style="71" customWidth="1"/>
    <col min="1544" max="1544" width="9.140625" style="71"/>
    <col min="1545" max="1545" width="14.28515625" style="71" customWidth="1"/>
    <col min="1546" max="1546" width="15.42578125" style="71" customWidth="1"/>
    <col min="1547" max="1792" width="9.140625" style="71"/>
    <col min="1793" max="1793" width="9.5703125" style="71" customWidth="1"/>
    <col min="1794" max="1794" width="51.5703125" style="71" customWidth="1"/>
    <col min="1795" max="1795" width="13.28515625" style="71" customWidth="1"/>
    <col min="1796" max="1796" width="12.140625" style="71" customWidth="1"/>
    <col min="1797" max="1797" width="4.140625" style="71" customWidth="1"/>
    <col min="1798" max="1798" width="42.140625" style="71" customWidth="1"/>
    <col min="1799" max="1799" width="15.42578125" style="71" customWidth="1"/>
    <col min="1800" max="1800" width="9.140625" style="71"/>
    <col min="1801" max="1801" width="14.28515625" style="71" customWidth="1"/>
    <col min="1802" max="1802" width="15.42578125" style="71" customWidth="1"/>
    <col min="1803" max="2048" width="9.140625" style="71"/>
    <col min="2049" max="2049" width="9.5703125" style="71" customWidth="1"/>
    <col min="2050" max="2050" width="51.5703125" style="71" customWidth="1"/>
    <col min="2051" max="2051" width="13.28515625" style="71" customWidth="1"/>
    <col min="2052" max="2052" width="12.140625" style="71" customWidth="1"/>
    <col min="2053" max="2053" width="4.140625" style="71" customWidth="1"/>
    <col min="2054" max="2054" width="42.140625" style="71" customWidth="1"/>
    <col min="2055" max="2055" width="15.42578125" style="71" customWidth="1"/>
    <col min="2056" max="2056" width="9.140625" style="71"/>
    <col min="2057" max="2057" width="14.28515625" style="71" customWidth="1"/>
    <col min="2058" max="2058" width="15.42578125" style="71" customWidth="1"/>
    <col min="2059" max="2304" width="9.140625" style="71"/>
    <col min="2305" max="2305" width="9.5703125" style="71" customWidth="1"/>
    <col min="2306" max="2306" width="51.5703125" style="71" customWidth="1"/>
    <col min="2307" max="2307" width="13.28515625" style="71" customWidth="1"/>
    <col min="2308" max="2308" width="12.140625" style="71" customWidth="1"/>
    <col min="2309" max="2309" width="4.140625" style="71" customWidth="1"/>
    <col min="2310" max="2310" width="42.140625" style="71" customWidth="1"/>
    <col min="2311" max="2311" width="15.42578125" style="71" customWidth="1"/>
    <col min="2312" max="2312" width="9.140625" style="71"/>
    <col min="2313" max="2313" width="14.28515625" style="71" customWidth="1"/>
    <col min="2314" max="2314" width="15.42578125" style="71" customWidth="1"/>
    <col min="2315" max="2560" width="9.140625" style="71"/>
    <col min="2561" max="2561" width="9.5703125" style="71" customWidth="1"/>
    <col min="2562" max="2562" width="51.5703125" style="71" customWidth="1"/>
    <col min="2563" max="2563" width="13.28515625" style="71" customWidth="1"/>
    <col min="2564" max="2564" width="12.140625" style="71" customWidth="1"/>
    <col min="2565" max="2565" width="4.140625" style="71" customWidth="1"/>
    <col min="2566" max="2566" width="42.140625" style="71" customWidth="1"/>
    <col min="2567" max="2567" width="15.42578125" style="71" customWidth="1"/>
    <col min="2568" max="2568" width="9.140625" style="71"/>
    <col min="2569" max="2569" width="14.28515625" style="71" customWidth="1"/>
    <col min="2570" max="2570" width="15.42578125" style="71" customWidth="1"/>
    <col min="2571" max="2816" width="9.140625" style="71"/>
    <col min="2817" max="2817" width="9.5703125" style="71" customWidth="1"/>
    <col min="2818" max="2818" width="51.5703125" style="71" customWidth="1"/>
    <col min="2819" max="2819" width="13.28515625" style="71" customWidth="1"/>
    <col min="2820" max="2820" width="12.140625" style="71" customWidth="1"/>
    <col min="2821" max="2821" width="4.140625" style="71" customWidth="1"/>
    <col min="2822" max="2822" width="42.140625" style="71" customWidth="1"/>
    <col min="2823" max="2823" width="15.42578125" style="71" customWidth="1"/>
    <col min="2824" max="2824" width="9.140625" style="71"/>
    <col min="2825" max="2825" width="14.28515625" style="71" customWidth="1"/>
    <col min="2826" max="2826" width="15.42578125" style="71" customWidth="1"/>
    <col min="2827" max="3072" width="9.140625" style="71"/>
    <col min="3073" max="3073" width="9.5703125" style="71" customWidth="1"/>
    <col min="3074" max="3074" width="51.5703125" style="71" customWidth="1"/>
    <col min="3075" max="3075" width="13.28515625" style="71" customWidth="1"/>
    <col min="3076" max="3076" width="12.140625" style="71" customWidth="1"/>
    <col min="3077" max="3077" width="4.140625" style="71" customWidth="1"/>
    <col min="3078" max="3078" width="42.140625" style="71" customWidth="1"/>
    <col min="3079" max="3079" width="15.42578125" style="71" customWidth="1"/>
    <col min="3080" max="3080" width="9.140625" style="71"/>
    <col min="3081" max="3081" width="14.28515625" style="71" customWidth="1"/>
    <col min="3082" max="3082" width="15.42578125" style="71" customWidth="1"/>
    <col min="3083" max="3328" width="9.140625" style="71"/>
    <col min="3329" max="3329" width="9.5703125" style="71" customWidth="1"/>
    <col min="3330" max="3330" width="51.5703125" style="71" customWidth="1"/>
    <col min="3331" max="3331" width="13.28515625" style="71" customWidth="1"/>
    <col min="3332" max="3332" width="12.140625" style="71" customWidth="1"/>
    <col min="3333" max="3333" width="4.140625" style="71" customWidth="1"/>
    <col min="3334" max="3334" width="42.140625" style="71" customWidth="1"/>
    <col min="3335" max="3335" width="15.42578125" style="71" customWidth="1"/>
    <col min="3336" max="3336" width="9.140625" style="71"/>
    <col min="3337" max="3337" width="14.28515625" style="71" customWidth="1"/>
    <col min="3338" max="3338" width="15.42578125" style="71" customWidth="1"/>
    <col min="3339" max="3584" width="9.140625" style="71"/>
    <col min="3585" max="3585" width="9.5703125" style="71" customWidth="1"/>
    <col min="3586" max="3586" width="51.5703125" style="71" customWidth="1"/>
    <col min="3587" max="3587" width="13.28515625" style="71" customWidth="1"/>
    <col min="3588" max="3588" width="12.140625" style="71" customWidth="1"/>
    <col min="3589" max="3589" width="4.140625" style="71" customWidth="1"/>
    <col min="3590" max="3590" width="42.140625" style="71" customWidth="1"/>
    <col min="3591" max="3591" width="15.42578125" style="71" customWidth="1"/>
    <col min="3592" max="3592" width="9.140625" style="71"/>
    <col min="3593" max="3593" width="14.28515625" style="71" customWidth="1"/>
    <col min="3594" max="3594" width="15.42578125" style="71" customWidth="1"/>
    <col min="3595" max="3840" width="9.140625" style="71"/>
    <col min="3841" max="3841" width="9.5703125" style="71" customWidth="1"/>
    <col min="3842" max="3842" width="51.5703125" style="71" customWidth="1"/>
    <col min="3843" max="3843" width="13.28515625" style="71" customWidth="1"/>
    <col min="3844" max="3844" width="12.140625" style="71" customWidth="1"/>
    <col min="3845" max="3845" width="4.140625" style="71" customWidth="1"/>
    <col min="3846" max="3846" width="42.140625" style="71" customWidth="1"/>
    <col min="3847" max="3847" width="15.42578125" style="71" customWidth="1"/>
    <col min="3848" max="3848" width="9.140625" style="71"/>
    <col min="3849" max="3849" width="14.28515625" style="71" customWidth="1"/>
    <col min="3850" max="3850" width="15.42578125" style="71" customWidth="1"/>
    <col min="3851" max="4096" width="9.140625" style="71"/>
    <col min="4097" max="4097" width="9.5703125" style="71" customWidth="1"/>
    <col min="4098" max="4098" width="51.5703125" style="71" customWidth="1"/>
    <col min="4099" max="4099" width="13.28515625" style="71" customWidth="1"/>
    <col min="4100" max="4100" width="12.140625" style="71" customWidth="1"/>
    <col min="4101" max="4101" width="4.140625" style="71" customWidth="1"/>
    <col min="4102" max="4102" width="42.140625" style="71" customWidth="1"/>
    <col min="4103" max="4103" width="15.42578125" style="71" customWidth="1"/>
    <col min="4104" max="4104" width="9.140625" style="71"/>
    <col min="4105" max="4105" width="14.28515625" style="71" customWidth="1"/>
    <col min="4106" max="4106" width="15.42578125" style="71" customWidth="1"/>
    <col min="4107" max="4352" width="9.140625" style="71"/>
    <col min="4353" max="4353" width="9.5703125" style="71" customWidth="1"/>
    <col min="4354" max="4354" width="51.5703125" style="71" customWidth="1"/>
    <col min="4355" max="4355" width="13.28515625" style="71" customWidth="1"/>
    <col min="4356" max="4356" width="12.140625" style="71" customWidth="1"/>
    <col min="4357" max="4357" width="4.140625" style="71" customWidth="1"/>
    <col min="4358" max="4358" width="42.140625" style="71" customWidth="1"/>
    <col min="4359" max="4359" width="15.42578125" style="71" customWidth="1"/>
    <col min="4360" max="4360" width="9.140625" style="71"/>
    <col min="4361" max="4361" width="14.28515625" style="71" customWidth="1"/>
    <col min="4362" max="4362" width="15.42578125" style="71" customWidth="1"/>
    <col min="4363" max="4608" width="9.140625" style="71"/>
    <col min="4609" max="4609" width="9.5703125" style="71" customWidth="1"/>
    <col min="4610" max="4610" width="51.5703125" style="71" customWidth="1"/>
    <col min="4611" max="4611" width="13.28515625" style="71" customWidth="1"/>
    <col min="4612" max="4612" width="12.140625" style="71" customWidth="1"/>
    <col min="4613" max="4613" width="4.140625" style="71" customWidth="1"/>
    <col min="4614" max="4614" width="42.140625" style="71" customWidth="1"/>
    <col min="4615" max="4615" width="15.42578125" style="71" customWidth="1"/>
    <col min="4616" max="4616" width="9.140625" style="71"/>
    <col min="4617" max="4617" width="14.28515625" style="71" customWidth="1"/>
    <col min="4618" max="4618" width="15.42578125" style="71" customWidth="1"/>
    <col min="4619" max="4864" width="9.140625" style="71"/>
    <col min="4865" max="4865" width="9.5703125" style="71" customWidth="1"/>
    <col min="4866" max="4866" width="51.5703125" style="71" customWidth="1"/>
    <col min="4867" max="4867" width="13.28515625" style="71" customWidth="1"/>
    <col min="4868" max="4868" width="12.140625" style="71" customWidth="1"/>
    <col min="4869" max="4869" width="4.140625" style="71" customWidth="1"/>
    <col min="4870" max="4870" width="42.140625" style="71" customWidth="1"/>
    <col min="4871" max="4871" width="15.42578125" style="71" customWidth="1"/>
    <col min="4872" max="4872" width="9.140625" style="71"/>
    <col min="4873" max="4873" width="14.28515625" style="71" customWidth="1"/>
    <col min="4874" max="4874" width="15.42578125" style="71" customWidth="1"/>
    <col min="4875" max="5120" width="9.140625" style="71"/>
    <col min="5121" max="5121" width="9.5703125" style="71" customWidth="1"/>
    <col min="5122" max="5122" width="51.5703125" style="71" customWidth="1"/>
    <col min="5123" max="5123" width="13.28515625" style="71" customWidth="1"/>
    <col min="5124" max="5124" width="12.140625" style="71" customWidth="1"/>
    <col min="5125" max="5125" width="4.140625" style="71" customWidth="1"/>
    <col min="5126" max="5126" width="42.140625" style="71" customWidth="1"/>
    <col min="5127" max="5127" width="15.42578125" style="71" customWidth="1"/>
    <col min="5128" max="5128" width="9.140625" style="71"/>
    <col min="5129" max="5129" width="14.28515625" style="71" customWidth="1"/>
    <col min="5130" max="5130" width="15.42578125" style="71" customWidth="1"/>
    <col min="5131" max="5376" width="9.140625" style="71"/>
    <col min="5377" max="5377" width="9.5703125" style="71" customWidth="1"/>
    <col min="5378" max="5378" width="51.5703125" style="71" customWidth="1"/>
    <col min="5379" max="5379" width="13.28515625" style="71" customWidth="1"/>
    <col min="5380" max="5380" width="12.140625" style="71" customWidth="1"/>
    <col min="5381" max="5381" width="4.140625" style="71" customWidth="1"/>
    <col min="5382" max="5382" width="42.140625" style="71" customWidth="1"/>
    <col min="5383" max="5383" width="15.42578125" style="71" customWidth="1"/>
    <col min="5384" max="5384" width="9.140625" style="71"/>
    <col min="5385" max="5385" width="14.28515625" style="71" customWidth="1"/>
    <col min="5386" max="5386" width="15.42578125" style="71" customWidth="1"/>
    <col min="5387" max="5632" width="9.140625" style="71"/>
    <col min="5633" max="5633" width="9.5703125" style="71" customWidth="1"/>
    <col min="5634" max="5634" width="51.5703125" style="71" customWidth="1"/>
    <col min="5635" max="5635" width="13.28515625" style="71" customWidth="1"/>
    <col min="5636" max="5636" width="12.140625" style="71" customWidth="1"/>
    <col min="5637" max="5637" width="4.140625" style="71" customWidth="1"/>
    <col min="5638" max="5638" width="42.140625" style="71" customWidth="1"/>
    <col min="5639" max="5639" width="15.42578125" style="71" customWidth="1"/>
    <col min="5640" max="5640" width="9.140625" style="71"/>
    <col min="5641" max="5641" width="14.28515625" style="71" customWidth="1"/>
    <col min="5642" max="5642" width="15.42578125" style="71" customWidth="1"/>
    <col min="5643" max="5888" width="9.140625" style="71"/>
    <col min="5889" max="5889" width="9.5703125" style="71" customWidth="1"/>
    <col min="5890" max="5890" width="51.5703125" style="71" customWidth="1"/>
    <col min="5891" max="5891" width="13.28515625" style="71" customWidth="1"/>
    <col min="5892" max="5892" width="12.140625" style="71" customWidth="1"/>
    <col min="5893" max="5893" width="4.140625" style="71" customWidth="1"/>
    <col min="5894" max="5894" width="42.140625" style="71" customWidth="1"/>
    <col min="5895" max="5895" width="15.42578125" style="71" customWidth="1"/>
    <col min="5896" max="5896" width="9.140625" style="71"/>
    <col min="5897" max="5897" width="14.28515625" style="71" customWidth="1"/>
    <col min="5898" max="5898" width="15.42578125" style="71" customWidth="1"/>
    <col min="5899" max="6144" width="9.140625" style="71"/>
    <col min="6145" max="6145" width="9.5703125" style="71" customWidth="1"/>
    <col min="6146" max="6146" width="51.5703125" style="71" customWidth="1"/>
    <col min="6147" max="6147" width="13.28515625" style="71" customWidth="1"/>
    <col min="6148" max="6148" width="12.140625" style="71" customWidth="1"/>
    <col min="6149" max="6149" width="4.140625" style="71" customWidth="1"/>
    <col min="6150" max="6150" width="42.140625" style="71" customWidth="1"/>
    <col min="6151" max="6151" width="15.42578125" style="71" customWidth="1"/>
    <col min="6152" max="6152" width="9.140625" style="71"/>
    <col min="6153" max="6153" width="14.28515625" style="71" customWidth="1"/>
    <col min="6154" max="6154" width="15.42578125" style="71" customWidth="1"/>
    <col min="6155" max="6400" width="9.140625" style="71"/>
    <col min="6401" max="6401" width="9.5703125" style="71" customWidth="1"/>
    <col min="6402" max="6402" width="51.5703125" style="71" customWidth="1"/>
    <col min="6403" max="6403" width="13.28515625" style="71" customWidth="1"/>
    <col min="6404" max="6404" width="12.140625" style="71" customWidth="1"/>
    <col min="6405" max="6405" width="4.140625" style="71" customWidth="1"/>
    <col min="6406" max="6406" width="42.140625" style="71" customWidth="1"/>
    <col min="6407" max="6407" width="15.42578125" style="71" customWidth="1"/>
    <col min="6408" max="6408" width="9.140625" style="71"/>
    <col min="6409" max="6409" width="14.28515625" style="71" customWidth="1"/>
    <col min="6410" max="6410" width="15.42578125" style="71" customWidth="1"/>
    <col min="6411" max="6656" width="9.140625" style="71"/>
    <col min="6657" max="6657" width="9.5703125" style="71" customWidth="1"/>
    <col min="6658" max="6658" width="51.5703125" style="71" customWidth="1"/>
    <col min="6659" max="6659" width="13.28515625" style="71" customWidth="1"/>
    <col min="6660" max="6660" width="12.140625" style="71" customWidth="1"/>
    <col min="6661" max="6661" width="4.140625" style="71" customWidth="1"/>
    <col min="6662" max="6662" width="42.140625" style="71" customWidth="1"/>
    <col min="6663" max="6663" width="15.42578125" style="71" customWidth="1"/>
    <col min="6664" max="6664" width="9.140625" style="71"/>
    <col min="6665" max="6665" width="14.28515625" style="71" customWidth="1"/>
    <col min="6666" max="6666" width="15.42578125" style="71" customWidth="1"/>
    <col min="6667" max="6912" width="9.140625" style="71"/>
    <col min="6913" max="6913" width="9.5703125" style="71" customWidth="1"/>
    <col min="6914" max="6914" width="51.5703125" style="71" customWidth="1"/>
    <col min="6915" max="6915" width="13.28515625" style="71" customWidth="1"/>
    <col min="6916" max="6916" width="12.140625" style="71" customWidth="1"/>
    <col min="6917" max="6917" width="4.140625" style="71" customWidth="1"/>
    <col min="6918" max="6918" width="42.140625" style="71" customWidth="1"/>
    <col min="6919" max="6919" width="15.42578125" style="71" customWidth="1"/>
    <col min="6920" max="6920" width="9.140625" style="71"/>
    <col min="6921" max="6921" width="14.28515625" style="71" customWidth="1"/>
    <col min="6922" max="6922" width="15.42578125" style="71" customWidth="1"/>
    <col min="6923" max="7168" width="9.140625" style="71"/>
    <col min="7169" max="7169" width="9.5703125" style="71" customWidth="1"/>
    <col min="7170" max="7170" width="51.5703125" style="71" customWidth="1"/>
    <col min="7171" max="7171" width="13.28515625" style="71" customWidth="1"/>
    <col min="7172" max="7172" width="12.140625" style="71" customWidth="1"/>
    <col min="7173" max="7173" width="4.140625" style="71" customWidth="1"/>
    <col min="7174" max="7174" width="42.140625" style="71" customWidth="1"/>
    <col min="7175" max="7175" width="15.42578125" style="71" customWidth="1"/>
    <col min="7176" max="7176" width="9.140625" style="71"/>
    <col min="7177" max="7177" width="14.28515625" style="71" customWidth="1"/>
    <col min="7178" max="7178" width="15.42578125" style="71" customWidth="1"/>
    <col min="7179" max="7424" width="9.140625" style="71"/>
    <col min="7425" max="7425" width="9.5703125" style="71" customWidth="1"/>
    <col min="7426" max="7426" width="51.5703125" style="71" customWidth="1"/>
    <col min="7427" max="7427" width="13.28515625" style="71" customWidth="1"/>
    <col min="7428" max="7428" width="12.140625" style="71" customWidth="1"/>
    <col min="7429" max="7429" width="4.140625" style="71" customWidth="1"/>
    <col min="7430" max="7430" width="42.140625" style="71" customWidth="1"/>
    <col min="7431" max="7431" width="15.42578125" style="71" customWidth="1"/>
    <col min="7432" max="7432" width="9.140625" style="71"/>
    <col min="7433" max="7433" width="14.28515625" style="71" customWidth="1"/>
    <col min="7434" max="7434" width="15.42578125" style="71" customWidth="1"/>
    <col min="7435" max="7680" width="9.140625" style="71"/>
    <col min="7681" max="7681" width="9.5703125" style="71" customWidth="1"/>
    <col min="7682" max="7682" width="51.5703125" style="71" customWidth="1"/>
    <col min="7683" max="7683" width="13.28515625" style="71" customWidth="1"/>
    <col min="7684" max="7684" width="12.140625" style="71" customWidth="1"/>
    <col min="7685" max="7685" width="4.140625" style="71" customWidth="1"/>
    <col min="7686" max="7686" width="42.140625" style="71" customWidth="1"/>
    <col min="7687" max="7687" width="15.42578125" style="71" customWidth="1"/>
    <col min="7688" max="7688" width="9.140625" style="71"/>
    <col min="7689" max="7689" width="14.28515625" style="71" customWidth="1"/>
    <col min="7690" max="7690" width="15.42578125" style="71" customWidth="1"/>
    <col min="7691" max="7936" width="9.140625" style="71"/>
    <col min="7937" max="7937" width="9.5703125" style="71" customWidth="1"/>
    <col min="7938" max="7938" width="51.5703125" style="71" customWidth="1"/>
    <col min="7939" max="7939" width="13.28515625" style="71" customWidth="1"/>
    <col min="7940" max="7940" width="12.140625" style="71" customWidth="1"/>
    <col min="7941" max="7941" width="4.140625" style="71" customWidth="1"/>
    <col min="7942" max="7942" width="42.140625" style="71" customWidth="1"/>
    <col min="7943" max="7943" width="15.42578125" style="71" customWidth="1"/>
    <col min="7944" max="7944" width="9.140625" style="71"/>
    <col min="7945" max="7945" width="14.28515625" style="71" customWidth="1"/>
    <col min="7946" max="7946" width="15.42578125" style="71" customWidth="1"/>
    <col min="7947" max="8192" width="9.140625" style="71"/>
    <col min="8193" max="8193" width="9.5703125" style="71" customWidth="1"/>
    <col min="8194" max="8194" width="51.5703125" style="71" customWidth="1"/>
    <col min="8195" max="8195" width="13.28515625" style="71" customWidth="1"/>
    <col min="8196" max="8196" width="12.140625" style="71" customWidth="1"/>
    <col min="8197" max="8197" width="4.140625" style="71" customWidth="1"/>
    <col min="8198" max="8198" width="42.140625" style="71" customWidth="1"/>
    <col min="8199" max="8199" width="15.42578125" style="71" customWidth="1"/>
    <col min="8200" max="8200" width="9.140625" style="71"/>
    <col min="8201" max="8201" width="14.28515625" style="71" customWidth="1"/>
    <col min="8202" max="8202" width="15.42578125" style="71" customWidth="1"/>
    <col min="8203" max="8448" width="9.140625" style="71"/>
    <col min="8449" max="8449" width="9.5703125" style="71" customWidth="1"/>
    <col min="8450" max="8450" width="51.5703125" style="71" customWidth="1"/>
    <col min="8451" max="8451" width="13.28515625" style="71" customWidth="1"/>
    <col min="8452" max="8452" width="12.140625" style="71" customWidth="1"/>
    <col min="8453" max="8453" width="4.140625" style="71" customWidth="1"/>
    <col min="8454" max="8454" width="42.140625" style="71" customWidth="1"/>
    <col min="8455" max="8455" width="15.42578125" style="71" customWidth="1"/>
    <col min="8456" max="8456" width="9.140625" style="71"/>
    <col min="8457" max="8457" width="14.28515625" style="71" customWidth="1"/>
    <col min="8458" max="8458" width="15.42578125" style="71" customWidth="1"/>
    <col min="8459" max="8704" width="9.140625" style="71"/>
    <col min="8705" max="8705" width="9.5703125" style="71" customWidth="1"/>
    <col min="8706" max="8706" width="51.5703125" style="71" customWidth="1"/>
    <col min="8707" max="8707" width="13.28515625" style="71" customWidth="1"/>
    <col min="8708" max="8708" width="12.140625" style="71" customWidth="1"/>
    <col min="8709" max="8709" width="4.140625" style="71" customWidth="1"/>
    <col min="8710" max="8710" width="42.140625" style="71" customWidth="1"/>
    <col min="8711" max="8711" width="15.42578125" style="71" customWidth="1"/>
    <col min="8712" max="8712" width="9.140625" style="71"/>
    <col min="8713" max="8713" width="14.28515625" style="71" customWidth="1"/>
    <col min="8714" max="8714" width="15.42578125" style="71" customWidth="1"/>
    <col min="8715" max="8960" width="9.140625" style="71"/>
    <col min="8961" max="8961" width="9.5703125" style="71" customWidth="1"/>
    <col min="8962" max="8962" width="51.5703125" style="71" customWidth="1"/>
    <col min="8963" max="8963" width="13.28515625" style="71" customWidth="1"/>
    <col min="8964" max="8964" width="12.140625" style="71" customWidth="1"/>
    <col min="8965" max="8965" width="4.140625" style="71" customWidth="1"/>
    <col min="8966" max="8966" width="42.140625" style="71" customWidth="1"/>
    <col min="8967" max="8967" width="15.42578125" style="71" customWidth="1"/>
    <col min="8968" max="8968" width="9.140625" style="71"/>
    <col min="8969" max="8969" width="14.28515625" style="71" customWidth="1"/>
    <col min="8970" max="8970" width="15.42578125" style="71" customWidth="1"/>
    <col min="8971" max="9216" width="9.140625" style="71"/>
    <col min="9217" max="9217" width="9.5703125" style="71" customWidth="1"/>
    <col min="9218" max="9218" width="51.5703125" style="71" customWidth="1"/>
    <col min="9219" max="9219" width="13.28515625" style="71" customWidth="1"/>
    <col min="9220" max="9220" width="12.140625" style="71" customWidth="1"/>
    <col min="9221" max="9221" width="4.140625" style="71" customWidth="1"/>
    <col min="9222" max="9222" width="42.140625" style="71" customWidth="1"/>
    <col min="9223" max="9223" width="15.42578125" style="71" customWidth="1"/>
    <col min="9224" max="9224" width="9.140625" style="71"/>
    <col min="9225" max="9225" width="14.28515625" style="71" customWidth="1"/>
    <col min="9226" max="9226" width="15.42578125" style="71" customWidth="1"/>
    <col min="9227" max="9472" width="9.140625" style="71"/>
    <col min="9473" max="9473" width="9.5703125" style="71" customWidth="1"/>
    <col min="9474" max="9474" width="51.5703125" style="71" customWidth="1"/>
    <col min="9475" max="9475" width="13.28515625" style="71" customWidth="1"/>
    <col min="9476" max="9476" width="12.140625" style="71" customWidth="1"/>
    <col min="9477" max="9477" width="4.140625" style="71" customWidth="1"/>
    <col min="9478" max="9478" width="42.140625" style="71" customWidth="1"/>
    <col min="9479" max="9479" width="15.42578125" style="71" customWidth="1"/>
    <col min="9480" max="9480" width="9.140625" style="71"/>
    <col min="9481" max="9481" width="14.28515625" style="71" customWidth="1"/>
    <col min="9482" max="9482" width="15.42578125" style="71" customWidth="1"/>
    <col min="9483" max="9728" width="9.140625" style="71"/>
    <col min="9729" max="9729" width="9.5703125" style="71" customWidth="1"/>
    <col min="9730" max="9730" width="51.5703125" style="71" customWidth="1"/>
    <col min="9731" max="9731" width="13.28515625" style="71" customWidth="1"/>
    <col min="9732" max="9732" width="12.140625" style="71" customWidth="1"/>
    <col min="9733" max="9733" width="4.140625" style="71" customWidth="1"/>
    <col min="9734" max="9734" width="42.140625" style="71" customWidth="1"/>
    <col min="9735" max="9735" width="15.42578125" style="71" customWidth="1"/>
    <col min="9736" max="9736" width="9.140625" style="71"/>
    <col min="9737" max="9737" width="14.28515625" style="71" customWidth="1"/>
    <col min="9738" max="9738" width="15.42578125" style="71" customWidth="1"/>
    <col min="9739" max="9984" width="9.140625" style="71"/>
    <col min="9985" max="9985" width="9.5703125" style="71" customWidth="1"/>
    <col min="9986" max="9986" width="51.5703125" style="71" customWidth="1"/>
    <col min="9987" max="9987" width="13.28515625" style="71" customWidth="1"/>
    <col min="9988" max="9988" width="12.140625" style="71" customWidth="1"/>
    <col min="9989" max="9989" width="4.140625" style="71" customWidth="1"/>
    <col min="9990" max="9990" width="42.140625" style="71" customWidth="1"/>
    <col min="9991" max="9991" width="15.42578125" style="71" customWidth="1"/>
    <col min="9992" max="9992" width="9.140625" style="71"/>
    <col min="9993" max="9993" width="14.28515625" style="71" customWidth="1"/>
    <col min="9994" max="9994" width="15.42578125" style="71" customWidth="1"/>
    <col min="9995" max="10240" width="9.140625" style="71"/>
    <col min="10241" max="10241" width="9.5703125" style="71" customWidth="1"/>
    <col min="10242" max="10242" width="51.5703125" style="71" customWidth="1"/>
    <col min="10243" max="10243" width="13.28515625" style="71" customWidth="1"/>
    <col min="10244" max="10244" width="12.140625" style="71" customWidth="1"/>
    <col min="10245" max="10245" width="4.140625" style="71" customWidth="1"/>
    <col min="10246" max="10246" width="42.140625" style="71" customWidth="1"/>
    <col min="10247" max="10247" width="15.42578125" style="71" customWidth="1"/>
    <col min="10248" max="10248" width="9.140625" style="71"/>
    <col min="10249" max="10249" width="14.28515625" style="71" customWidth="1"/>
    <col min="10250" max="10250" width="15.42578125" style="71" customWidth="1"/>
    <col min="10251" max="10496" width="9.140625" style="71"/>
    <col min="10497" max="10497" width="9.5703125" style="71" customWidth="1"/>
    <col min="10498" max="10498" width="51.5703125" style="71" customWidth="1"/>
    <col min="10499" max="10499" width="13.28515625" style="71" customWidth="1"/>
    <col min="10500" max="10500" width="12.140625" style="71" customWidth="1"/>
    <col min="10501" max="10501" width="4.140625" style="71" customWidth="1"/>
    <col min="10502" max="10502" width="42.140625" style="71" customWidth="1"/>
    <col min="10503" max="10503" width="15.42578125" style="71" customWidth="1"/>
    <col min="10504" max="10504" width="9.140625" style="71"/>
    <col min="10505" max="10505" width="14.28515625" style="71" customWidth="1"/>
    <col min="10506" max="10506" width="15.42578125" style="71" customWidth="1"/>
    <col min="10507" max="10752" width="9.140625" style="71"/>
    <col min="10753" max="10753" width="9.5703125" style="71" customWidth="1"/>
    <col min="10754" max="10754" width="51.5703125" style="71" customWidth="1"/>
    <col min="10755" max="10755" width="13.28515625" style="71" customWidth="1"/>
    <col min="10756" max="10756" width="12.140625" style="71" customWidth="1"/>
    <col min="10757" max="10757" width="4.140625" style="71" customWidth="1"/>
    <col min="10758" max="10758" width="42.140625" style="71" customWidth="1"/>
    <col min="10759" max="10759" width="15.42578125" style="71" customWidth="1"/>
    <col min="10760" max="10760" width="9.140625" style="71"/>
    <col min="10761" max="10761" width="14.28515625" style="71" customWidth="1"/>
    <col min="10762" max="10762" width="15.42578125" style="71" customWidth="1"/>
    <col min="10763" max="11008" width="9.140625" style="71"/>
    <col min="11009" max="11009" width="9.5703125" style="71" customWidth="1"/>
    <col min="11010" max="11010" width="51.5703125" style="71" customWidth="1"/>
    <col min="11011" max="11011" width="13.28515625" style="71" customWidth="1"/>
    <col min="11012" max="11012" width="12.140625" style="71" customWidth="1"/>
    <col min="11013" max="11013" width="4.140625" style="71" customWidth="1"/>
    <col min="11014" max="11014" width="42.140625" style="71" customWidth="1"/>
    <col min="11015" max="11015" width="15.42578125" style="71" customWidth="1"/>
    <col min="11016" max="11016" width="9.140625" style="71"/>
    <col min="11017" max="11017" width="14.28515625" style="71" customWidth="1"/>
    <col min="11018" max="11018" width="15.42578125" style="71" customWidth="1"/>
    <col min="11019" max="11264" width="9.140625" style="71"/>
    <col min="11265" max="11265" width="9.5703125" style="71" customWidth="1"/>
    <col min="11266" max="11266" width="51.5703125" style="71" customWidth="1"/>
    <col min="11267" max="11267" width="13.28515625" style="71" customWidth="1"/>
    <col min="11268" max="11268" width="12.140625" style="71" customWidth="1"/>
    <col min="11269" max="11269" width="4.140625" style="71" customWidth="1"/>
    <col min="11270" max="11270" width="42.140625" style="71" customWidth="1"/>
    <col min="11271" max="11271" width="15.42578125" style="71" customWidth="1"/>
    <col min="11272" max="11272" width="9.140625" style="71"/>
    <col min="11273" max="11273" width="14.28515625" style="71" customWidth="1"/>
    <col min="11274" max="11274" width="15.42578125" style="71" customWidth="1"/>
    <col min="11275" max="11520" width="9.140625" style="71"/>
    <col min="11521" max="11521" width="9.5703125" style="71" customWidth="1"/>
    <col min="11522" max="11522" width="51.5703125" style="71" customWidth="1"/>
    <col min="11523" max="11523" width="13.28515625" style="71" customWidth="1"/>
    <col min="11524" max="11524" width="12.140625" style="71" customWidth="1"/>
    <col min="11525" max="11525" width="4.140625" style="71" customWidth="1"/>
    <col min="11526" max="11526" width="42.140625" style="71" customWidth="1"/>
    <col min="11527" max="11527" width="15.42578125" style="71" customWidth="1"/>
    <col min="11528" max="11528" width="9.140625" style="71"/>
    <col min="11529" max="11529" width="14.28515625" style="71" customWidth="1"/>
    <col min="11530" max="11530" width="15.42578125" style="71" customWidth="1"/>
    <col min="11531" max="11776" width="9.140625" style="71"/>
    <col min="11777" max="11777" width="9.5703125" style="71" customWidth="1"/>
    <col min="11778" max="11778" width="51.5703125" style="71" customWidth="1"/>
    <col min="11779" max="11779" width="13.28515625" style="71" customWidth="1"/>
    <col min="11780" max="11780" width="12.140625" style="71" customWidth="1"/>
    <col min="11781" max="11781" width="4.140625" style="71" customWidth="1"/>
    <col min="11782" max="11782" width="42.140625" style="71" customWidth="1"/>
    <col min="11783" max="11783" width="15.42578125" style="71" customWidth="1"/>
    <col min="11784" max="11784" width="9.140625" style="71"/>
    <col min="11785" max="11785" width="14.28515625" style="71" customWidth="1"/>
    <col min="11786" max="11786" width="15.42578125" style="71" customWidth="1"/>
    <col min="11787" max="12032" width="9.140625" style="71"/>
    <col min="12033" max="12033" width="9.5703125" style="71" customWidth="1"/>
    <col min="12034" max="12034" width="51.5703125" style="71" customWidth="1"/>
    <col min="12035" max="12035" width="13.28515625" style="71" customWidth="1"/>
    <col min="12036" max="12036" width="12.140625" style="71" customWidth="1"/>
    <col min="12037" max="12037" width="4.140625" style="71" customWidth="1"/>
    <col min="12038" max="12038" width="42.140625" style="71" customWidth="1"/>
    <col min="12039" max="12039" width="15.42578125" style="71" customWidth="1"/>
    <col min="12040" max="12040" width="9.140625" style="71"/>
    <col min="12041" max="12041" width="14.28515625" style="71" customWidth="1"/>
    <col min="12042" max="12042" width="15.42578125" style="71" customWidth="1"/>
    <col min="12043" max="12288" width="9.140625" style="71"/>
    <col min="12289" max="12289" width="9.5703125" style="71" customWidth="1"/>
    <col min="12290" max="12290" width="51.5703125" style="71" customWidth="1"/>
    <col min="12291" max="12291" width="13.28515625" style="71" customWidth="1"/>
    <col min="12292" max="12292" width="12.140625" style="71" customWidth="1"/>
    <col min="12293" max="12293" width="4.140625" style="71" customWidth="1"/>
    <col min="12294" max="12294" width="42.140625" style="71" customWidth="1"/>
    <col min="12295" max="12295" width="15.42578125" style="71" customWidth="1"/>
    <col min="12296" max="12296" width="9.140625" style="71"/>
    <col min="12297" max="12297" width="14.28515625" style="71" customWidth="1"/>
    <col min="12298" max="12298" width="15.42578125" style="71" customWidth="1"/>
    <col min="12299" max="12544" width="9.140625" style="71"/>
    <col min="12545" max="12545" width="9.5703125" style="71" customWidth="1"/>
    <col min="12546" max="12546" width="51.5703125" style="71" customWidth="1"/>
    <col min="12547" max="12547" width="13.28515625" style="71" customWidth="1"/>
    <col min="12548" max="12548" width="12.140625" style="71" customWidth="1"/>
    <col min="12549" max="12549" width="4.140625" style="71" customWidth="1"/>
    <col min="12550" max="12550" width="42.140625" style="71" customWidth="1"/>
    <col min="12551" max="12551" width="15.42578125" style="71" customWidth="1"/>
    <col min="12552" max="12552" width="9.140625" style="71"/>
    <col min="12553" max="12553" width="14.28515625" style="71" customWidth="1"/>
    <col min="12554" max="12554" width="15.42578125" style="71" customWidth="1"/>
    <col min="12555" max="12800" width="9.140625" style="71"/>
    <col min="12801" max="12801" width="9.5703125" style="71" customWidth="1"/>
    <col min="12802" max="12802" width="51.5703125" style="71" customWidth="1"/>
    <col min="12803" max="12803" width="13.28515625" style="71" customWidth="1"/>
    <col min="12804" max="12804" width="12.140625" style="71" customWidth="1"/>
    <col min="12805" max="12805" width="4.140625" style="71" customWidth="1"/>
    <col min="12806" max="12806" width="42.140625" style="71" customWidth="1"/>
    <col min="12807" max="12807" width="15.42578125" style="71" customWidth="1"/>
    <col min="12808" max="12808" width="9.140625" style="71"/>
    <col min="12809" max="12809" width="14.28515625" style="71" customWidth="1"/>
    <col min="12810" max="12810" width="15.42578125" style="71" customWidth="1"/>
    <col min="12811" max="13056" width="9.140625" style="71"/>
    <col min="13057" max="13057" width="9.5703125" style="71" customWidth="1"/>
    <col min="13058" max="13058" width="51.5703125" style="71" customWidth="1"/>
    <col min="13059" max="13059" width="13.28515625" style="71" customWidth="1"/>
    <col min="13060" max="13060" width="12.140625" style="71" customWidth="1"/>
    <col min="13061" max="13061" width="4.140625" style="71" customWidth="1"/>
    <col min="13062" max="13062" width="42.140625" style="71" customWidth="1"/>
    <col min="13063" max="13063" width="15.42578125" style="71" customWidth="1"/>
    <col min="13064" max="13064" width="9.140625" style="71"/>
    <col min="13065" max="13065" width="14.28515625" style="71" customWidth="1"/>
    <col min="13066" max="13066" width="15.42578125" style="71" customWidth="1"/>
    <col min="13067" max="13312" width="9.140625" style="71"/>
    <col min="13313" max="13313" width="9.5703125" style="71" customWidth="1"/>
    <col min="13314" max="13314" width="51.5703125" style="71" customWidth="1"/>
    <col min="13315" max="13315" width="13.28515625" style="71" customWidth="1"/>
    <col min="13316" max="13316" width="12.140625" style="71" customWidth="1"/>
    <col min="13317" max="13317" width="4.140625" style="71" customWidth="1"/>
    <col min="13318" max="13318" width="42.140625" style="71" customWidth="1"/>
    <col min="13319" max="13319" width="15.42578125" style="71" customWidth="1"/>
    <col min="13320" max="13320" width="9.140625" style="71"/>
    <col min="13321" max="13321" width="14.28515625" style="71" customWidth="1"/>
    <col min="13322" max="13322" width="15.42578125" style="71" customWidth="1"/>
    <col min="13323" max="13568" width="9.140625" style="71"/>
    <col min="13569" max="13569" width="9.5703125" style="71" customWidth="1"/>
    <col min="13570" max="13570" width="51.5703125" style="71" customWidth="1"/>
    <col min="13571" max="13571" width="13.28515625" style="71" customWidth="1"/>
    <col min="13572" max="13572" width="12.140625" style="71" customWidth="1"/>
    <col min="13573" max="13573" width="4.140625" style="71" customWidth="1"/>
    <col min="13574" max="13574" width="42.140625" style="71" customWidth="1"/>
    <col min="13575" max="13575" width="15.42578125" style="71" customWidth="1"/>
    <col min="13576" max="13576" width="9.140625" style="71"/>
    <col min="13577" max="13577" width="14.28515625" style="71" customWidth="1"/>
    <col min="13578" max="13578" width="15.42578125" style="71" customWidth="1"/>
    <col min="13579" max="13824" width="9.140625" style="71"/>
    <col min="13825" max="13825" width="9.5703125" style="71" customWidth="1"/>
    <col min="13826" max="13826" width="51.5703125" style="71" customWidth="1"/>
    <col min="13827" max="13827" width="13.28515625" style="71" customWidth="1"/>
    <col min="13828" max="13828" width="12.140625" style="71" customWidth="1"/>
    <col min="13829" max="13829" width="4.140625" style="71" customWidth="1"/>
    <col min="13830" max="13830" width="42.140625" style="71" customWidth="1"/>
    <col min="13831" max="13831" width="15.42578125" style="71" customWidth="1"/>
    <col min="13832" max="13832" width="9.140625" style="71"/>
    <col min="13833" max="13833" width="14.28515625" style="71" customWidth="1"/>
    <col min="13834" max="13834" width="15.42578125" style="71" customWidth="1"/>
    <col min="13835" max="14080" width="9.140625" style="71"/>
    <col min="14081" max="14081" width="9.5703125" style="71" customWidth="1"/>
    <col min="14082" max="14082" width="51.5703125" style="71" customWidth="1"/>
    <col min="14083" max="14083" width="13.28515625" style="71" customWidth="1"/>
    <col min="14084" max="14084" width="12.140625" style="71" customWidth="1"/>
    <col min="14085" max="14085" width="4.140625" style="71" customWidth="1"/>
    <col min="14086" max="14086" width="42.140625" style="71" customWidth="1"/>
    <col min="14087" max="14087" width="15.42578125" style="71" customWidth="1"/>
    <col min="14088" max="14088" width="9.140625" style="71"/>
    <col min="14089" max="14089" width="14.28515625" style="71" customWidth="1"/>
    <col min="14090" max="14090" width="15.42578125" style="71" customWidth="1"/>
    <col min="14091" max="14336" width="9.140625" style="71"/>
    <col min="14337" max="14337" width="9.5703125" style="71" customWidth="1"/>
    <col min="14338" max="14338" width="51.5703125" style="71" customWidth="1"/>
    <col min="14339" max="14339" width="13.28515625" style="71" customWidth="1"/>
    <col min="14340" max="14340" width="12.140625" style="71" customWidth="1"/>
    <col min="14341" max="14341" width="4.140625" style="71" customWidth="1"/>
    <col min="14342" max="14342" width="42.140625" style="71" customWidth="1"/>
    <col min="14343" max="14343" width="15.42578125" style="71" customWidth="1"/>
    <col min="14344" max="14344" width="9.140625" style="71"/>
    <col min="14345" max="14345" width="14.28515625" style="71" customWidth="1"/>
    <col min="14346" max="14346" width="15.42578125" style="71" customWidth="1"/>
    <col min="14347" max="14592" width="9.140625" style="71"/>
    <col min="14593" max="14593" width="9.5703125" style="71" customWidth="1"/>
    <col min="14594" max="14594" width="51.5703125" style="71" customWidth="1"/>
    <col min="14595" max="14595" width="13.28515625" style="71" customWidth="1"/>
    <col min="14596" max="14596" width="12.140625" style="71" customWidth="1"/>
    <col min="14597" max="14597" width="4.140625" style="71" customWidth="1"/>
    <col min="14598" max="14598" width="42.140625" style="71" customWidth="1"/>
    <col min="14599" max="14599" width="15.42578125" style="71" customWidth="1"/>
    <col min="14600" max="14600" width="9.140625" style="71"/>
    <col min="14601" max="14601" width="14.28515625" style="71" customWidth="1"/>
    <col min="14602" max="14602" width="15.42578125" style="71" customWidth="1"/>
    <col min="14603" max="14848" width="9.140625" style="71"/>
    <col min="14849" max="14849" width="9.5703125" style="71" customWidth="1"/>
    <col min="14850" max="14850" width="51.5703125" style="71" customWidth="1"/>
    <col min="14851" max="14851" width="13.28515625" style="71" customWidth="1"/>
    <col min="14852" max="14852" width="12.140625" style="71" customWidth="1"/>
    <col min="14853" max="14853" width="4.140625" style="71" customWidth="1"/>
    <col min="14854" max="14854" width="42.140625" style="71" customWidth="1"/>
    <col min="14855" max="14855" width="15.42578125" style="71" customWidth="1"/>
    <col min="14856" max="14856" width="9.140625" style="71"/>
    <col min="14857" max="14857" width="14.28515625" style="71" customWidth="1"/>
    <col min="14858" max="14858" width="15.42578125" style="71" customWidth="1"/>
    <col min="14859" max="15104" width="9.140625" style="71"/>
    <col min="15105" max="15105" width="9.5703125" style="71" customWidth="1"/>
    <col min="15106" max="15106" width="51.5703125" style="71" customWidth="1"/>
    <col min="15107" max="15107" width="13.28515625" style="71" customWidth="1"/>
    <col min="15108" max="15108" width="12.140625" style="71" customWidth="1"/>
    <col min="15109" max="15109" width="4.140625" style="71" customWidth="1"/>
    <col min="15110" max="15110" width="42.140625" style="71" customWidth="1"/>
    <col min="15111" max="15111" width="15.42578125" style="71" customWidth="1"/>
    <col min="15112" max="15112" width="9.140625" style="71"/>
    <col min="15113" max="15113" width="14.28515625" style="71" customWidth="1"/>
    <col min="15114" max="15114" width="15.42578125" style="71" customWidth="1"/>
    <col min="15115" max="15360" width="9.140625" style="71"/>
    <col min="15361" max="15361" width="9.5703125" style="71" customWidth="1"/>
    <col min="15362" max="15362" width="51.5703125" style="71" customWidth="1"/>
    <col min="15363" max="15363" width="13.28515625" style="71" customWidth="1"/>
    <col min="15364" max="15364" width="12.140625" style="71" customWidth="1"/>
    <col min="15365" max="15365" width="4.140625" style="71" customWidth="1"/>
    <col min="15366" max="15366" width="42.140625" style="71" customWidth="1"/>
    <col min="15367" max="15367" width="15.42578125" style="71" customWidth="1"/>
    <col min="15368" max="15368" width="9.140625" style="71"/>
    <col min="15369" max="15369" width="14.28515625" style="71" customWidth="1"/>
    <col min="15370" max="15370" width="15.42578125" style="71" customWidth="1"/>
    <col min="15371" max="15616" width="9.140625" style="71"/>
    <col min="15617" max="15617" width="9.5703125" style="71" customWidth="1"/>
    <col min="15618" max="15618" width="51.5703125" style="71" customWidth="1"/>
    <col min="15619" max="15619" width="13.28515625" style="71" customWidth="1"/>
    <col min="15620" max="15620" width="12.140625" style="71" customWidth="1"/>
    <col min="15621" max="15621" width="4.140625" style="71" customWidth="1"/>
    <col min="15622" max="15622" width="42.140625" style="71" customWidth="1"/>
    <col min="15623" max="15623" width="15.42578125" style="71" customWidth="1"/>
    <col min="15624" max="15624" width="9.140625" style="71"/>
    <col min="15625" max="15625" width="14.28515625" style="71" customWidth="1"/>
    <col min="15626" max="15626" width="15.42578125" style="71" customWidth="1"/>
    <col min="15627" max="15872" width="9.140625" style="71"/>
    <col min="15873" max="15873" width="9.5703125" style="71" customWidth="1"/>
    <col min="15874" max="15874" width="51.5703125" style="71" customWidth="1"/>
    <col min="15875" max="15875" width="13.28515625" style="71" customWidth="1"/>
    <col min="15876" max="15876" width="12.140625" style="71" customWidth="1"/>
    <col min="15877" max="15877" width="4.140625" style="71" customWidth="1"/>
    <col min="15878" max="15878" width="42.140625" style="71" customWidth="1"/>
    <col min="15879" max="15879" width="15.42578125" style="71" customWidth="1"/>
    <col min="15880" max="15880" width="9.140625" style="71"/>
    <col min="15881" max="15881" width="14.28515625" style="71" customWidth="1"/>
    <col min="15882" max="15882" width="15.42578125" style="71" customWidth="1"/>
    <col min="15883" max="16128" width="9.140625" style="71"/>
    <col min="16129" max="16129" width="9.5703125" style="71" customWidth="1"/>
    <col min="16130" max="16130" width="51.5703125" style="71" customWidth="1"/>
    <col min="16131" max="16131" width="13.28515625" style="71" customWidth="1"/>
    <col min="16132" max="16132" width="12.140625" style="71" customWidth="1"/>
    <col min="16133" max="16133" width="4.140625" style="71" customWidth="1"/>
    <col min="16134" max="16134" width="42.140625" style="71" customWidth="1"/>
    <col min="16135" max="16135" width="15.42578125" style="71" customWidth="1"/>
    <col min="16136" max="16136" width="9.140625" style="71"/>
    <col min="16137" max="16137" width="14.28515625" style="71" customWidth="1"/>
    <col min="16138" max="16138" width="15.42578125" style="71" customWidth="1"/>
    <col min="16139" max="16384" width="9.140625" style="71"/>
  </cols>
  <sheetData>
    <row r="2" spans="2:13" ht="12.75" customHeight="1" x14ac:dyDescent="0.2">
      <c r="B2" s="536" t="s">
        <v>41</v>
      </c>
      <c r="C2" s="536"/>
      <c r="D2" s="536"/>
      <c r="E2" s="536"/>
      <c r="F2" s="68"/>
      <c r="G2" s="68"/>
      <c r="H2" s="68"/>
      <c r="I2" s="69"/>
      <c r="J2" s="70"/>
    </row>
    <row r="3" spans="2:13" ht="15.75" customHeight="1" thickBot="1" x14ac:dyDescent="0.25">
      <c r="B3" s="537" t="s">
        <v>42</v>
      </c>
      <c r="C3" s="537"/>
      <c r="D3" s="537"/>
      <c r="E3" s="537"/>
      <c r="F3" s="68"/>
      <c r="G3" s="536" t="s">
        <v>77</v>
      </c>
      <c r="H3" s="536"/>
      <c r="I3" s="536"/>
      <c r="J3" s="536"/>
    </row>
    <row r="4" spans="2:13" ht="40.5" customHeight="1" x14ac:dyDescent="0.2">
      <c r="B4" s="538" t="s">
        <v>40</v>
      </c>
      <c r="C4" s="540" t="s">
        <v>43</v>
      </c>
      <c r="D4" s="540" t="s">
        <v>78</v>
      </c>
      <c r="E4" s="542"/>
      <c r="F4" s="68"/>
      <c r="G4" s="543" t="s">
        <v>38</v>
      </c>
      <c r="H4" s="544"/>
      <c r="I4" s="545"/>
      <c r="J4" s="549" t="s">
        <v>37</v>
      </c>
    </row>
    <row r="5" spans="2:13" ht="13.5" thickBot="1" x14ac:dyDescent="0.25">
      <c r="B5" s="539"/>
      <c r="C5" s="541"/>
      <c r="D5" s="124">
        <v>0.03</v>
      </c>
      <c r="E5" s="125">
        <v>2</v>
      </c>
      <c r="F5" s="68"/>
      <c r="G5" s="546"/>
      <c r="H5" s="547"/>
      <c r="I5" s="548"/>
      <c r="J5" s="550"/>
    </row>
    <row r="6" spans="2:13" x14ac:dyDescent="0.2">
      <c r="B6" s="551" t="s">
        <v>79</v>
      </c>
      <c r="C6" s="552"/>
      <c r="D6" s="552" t="s">
        <v>30</v>
      </c>
      <c r="E6" s="553"/>
      <c r="F6" s="72"/>
      <c r="G6" s="554" t="s">
        <v>31</v>
      </c>
      <c r="H6" s="555"/>
      <c r="I6" s="556"/>
      <c r="J6" s="73" t="s">
        <v>30</v>
      </c>
      <c r="M6" s="74"/>
    </row>
    <row r="7" spans="2:13" x14ac:dyDescent="0.2">
      <c r="B7" s="75">
        <v>1</v>
      </c>
      <c r="C7" s="76" t="s">
        <v>80</v>
      </c>
      <c r="D7" s="532">
        <v>0.2</v>
      </c>
      <c r="E7" s="533"/>
      <c r="F7" s="68"/>
      <c r="G7" s="534" t="s">
        <v>81</v>
      </c>
      <c r="H7" s="535"/>
      <c r="I7" s="73" t="s">
        <v>29</v>
      </c>
      <c r="J7" s="77">
        <v>0.05</v>
      </c>
      <c r="M7" s="74"/>
    </row>
    <row r="8" spans="2:13" x14ac:dyDescent="0.2">
      <c r="B8" s="75">
        <v>2</v>
      </c>
      <c r="C8" s="76" t="s">
        <v>82</v>
      </c>
      <c r="D8" s="532">
        <v>1.4999999999999999E-2</v>
      </c>
      <c r="E8" s="533"/>
      <c r="F8" s="68"/>
      <c r="G8" s="534" t="s">
        <v>83</v>
      </c>
      <c r="H8" s="535"/>
      <c r="I8" s="73" t="s">
        <v>28</v>
      </c>
      <c r="J8" s="77">
        <v>7.0000000000000007E-2</v>
      </c>
      <c r="M8" s="74"/>
    </row>
    <row r="9" spans="2:13" x14ac:dyDescent="0.2">
      <c r="B9" s="75">
        <v>3</v>
      </c>
      <c r="C9" s="76" t="s">
        <v>84</v>
      </c>
      <c r="D9" s="532">
        <v>0.01</v>
      </c>
      <c r="E9" s="533"/>
      <c r="F9" s="68"/>
      <c r="G9" s="78" t="s">
        <v>85</v>
      </c>
      <c r="H9" s="79"/>
      <c r="I9" s="73" t="s">
        <v>27</v>
      </c>
      <c r="J9" s="80">
        <f>SUM(J10:J13)</f>
        <v>8.6500000000000007E-2</v>
      </c>
      <c r="M9" s="74"/>
    </row>
    <row r="10" spans="2:13" x14ac:dyDescent="0.2">
      <c r="B10" s="75">
        <v>4</v>
      </c>
      <c r="C10" s="76" t="s">
        <v>86</v>
      </c>
      <c r="D10" s="532">
        <v>2E-3</v>
      </c>
      <c r="E10" s="533"/>
      <c r="F10" s="68"/>
      <c r="G10" s="81"/>
      <c r="H10" s="82"/>
      <c r="I10" s="73" t="s">
        <v>26</v>
      </c>
      <c r="J10" s="83">
        <v>0.05</v>
      </c>
      <c r="M10" s="74"/>
    </row>
    <row r="11" spans="2:13" x14ac:dyDescent="0.2">
      <c r="B11" s="75">
        <v>5</v>
      </c>
      <c r="C11" s="76" t="s">
        <v>87</v>
      </c>
      <c r="D11" s="532">
        <v>2.5000000000000001E-2</v>
      </c>
      <c r="E11" s="533"/>
      <c r="F11" s="68"/>
      <c r="G11" s="81"/>
      <c r="H11" s="82"/>
      <c r="I11" s="73" t="s">
        <v>25</v>
      </c>
      <c r="J11" s="83">
        <v>0.03</v>
      </c>
      <c r="M11" s="74"/>
    </row>
    <row r="12" spans="2:13" x14ac:dyDescent="0.2">
      <c r="B12" s="75">
        <v>6</v>
      </c>
      <c r="C12" s="76" t="s">
        <v>88</v>
      </c>
      <c r="D12" s="532">
        <v>0.08</v>
      </c>
      <c r="E12" s="533"/>
      <c r="F12" s="68"/>
      <c r="G12" s="81"/>
      <c r="H12" s="82"/>
      <c r="I12" s="73" t="s">
        <v>24</v>
      </c>
      <c r="J12" s="83">
        <v>6.4999999999999997E-3</v>
      </c>
      <c r="M12" s="74"/>
    </row>
    <row r="13" spans="2:13" x14ac:dyDescent="0.2">
      <c r="B13" s="75">
        <v>7</v>
      </c>
      <c r="C13" s="76" t="s">
        <v>44</v>
      </c>
      <c r="D13" s="532">
        <f>D5*E5</f>
        <v>0.06</v>
      </c>
      <c r="E13" s="533"/>
      <c r="F13" s="68"/>
      <c r="G13" s="84"/>
      <c r="H13" s="85"/>
      <c r="I13" s="73" t="s">
        <v>89</v>
      </c>
      <c r="J13" s="83">
        <v>0</v>
      </c>
      <c r="M13" s="74"/>
    </row>
    <row r="14" spans="2:13" x14ac:dyDescent="0.2">
      <c r="B14" s="75">
        <v>8</v>
      </c>
      <c r="C14" s="76" t="s">
        <v>90</v>
      </c>
      <c r="D14" s="532">
        <v>6.0000000000000001E-3</v>
      </c>
      <c r="E14" s="533"/>
      <c r="F14" s="68"/>
      <c r="G14" s="557" t="s">
        <v>91</v>
      </c>
      <c r="H14" s="558"/>
      <c r="I14" s="558"/>
      <c r="J14" s="144">
        <f>(((1+J7)*(1+J8))/(1-J9))-1</f>
        <v>0.22988505747126453</v>
      </c>
      <c r="M14" s="74"/>
    </row>
    <row r="15" spans="2:13" ht="13.5" thickBot="1" x14ac:dyDescent="0.25">
      <c r="B15" s="559" t="s">
        <v>92</v>
      </c>
      <c r="C15" s="560"/>
      <c r="D15" s="561">
        <f>SUM(D7:D14)</f>
        <v>0.39800000000000008</v>
      </c>
      <c r="E15" s="562"/>
      <c r="F15" s="86"/>
      <c r="G15" s="563" t="s">
        <v>93</v>
      </c>
      <c r="H15" s="564"/>
      <c r="I15" s="87"/>
      <c r="J15" s="145"/>
      <c r="M15" s="74"/>
    </row>
    <row r="16" spans="2:13" x14ac:dyDescent="0.2">
      <c r="B16" s="551" t="s">
        <v>94</v>
      </c>
      <c r="C16" s="552"/>
      <c r="D16" s="552" t="s">
        <v>30</v>
      </c>
      <c r="E16" s="553"/>
      <c r="F16" s="68"/>
      <c r="G16" s="81"/>
      <c r="H16" s="88"/>
      <c r="I16" s="88"/>
      <c r="J16" s="82"/>
      <c r="M16" s="74"/>
    </row>
    <row r="17" spans="1:13" x14ac:dyDescent="0.2">
      <c r="B17" s="75">
        <v>9</v>
      </c>
      <c r="C17" s="76" t="s">
        <v>95</v>
      </c>
      <c r="D17" s="532">
        <f>100%/11</f>
        <v>9.0909090909090912E-2</v>
      </c>
      <c r="E17" s="533"/>
      <c r="F17" s="68"/>
      <c r="G17" s="89" t="s">
        <v>23</v>
      </c>
      <c r="H17" s="90"/>
      <c r="I17" s="88"/>
      <c r="J17" s="82"/>
      <c r="M17" s="74"/>
    </row>
    <row r="18" spans="1:13" x14ac:dyDescent="0.2">
      <c r="B18" s="75">
        <v>10</v>
      </c>
      <c r="C18" s="76" t="s">
        <v>96</v>
      </c>
      <c r="D18" s="565">
        <f>100%/11</f>
        <v>9.0909090909090912E-2</v>
      </c>
      <c r="E18" s="566"/>
      <c r="F18" s="68"/>
      <c r="G18" s="81" t="s">
        <v>97</v>
      </c>
      <c r="H18" s="88"/>
      <c r="I18" s="88"/>
      <c r="J18" s="82"/>
      <c r="M18" s="74"/>
    </row>
    <row r="19" spans="1:13" x14ac:dyDescent="0.2">
      <c r="B19" s="75">
        <v>11</v>
      </c>
      <c r="C19" s="76" t="s">
        <v>98</v>
      </c>
      <c r="D19" s="532">
        <f>100%/3/11</f>
        <v>3.03030303030303E-2</v>
      </c>
      <c r="E19" s="533"/>
      <c r="F19" s="68"/>
      <c r="G19" s="81" t="s">
        <v>99</v>
      </c>
      <c r="H19" s="88"/>
      <c r="I19" s="88"/>
      <c r="J19" s="82"/>
      <c r="M19" s="74"/>
    </row>
    <row r="20" spans="1:13" ht="13.5" thickBot="1" x14ac:dyDescent="0.25">
      <c r="B20" s="75">
        <v>12</v>
      </c>
      <c r="C20" s="76" t="s">
        <v>100</v>
      </c>
      <c r="D20" s="532">
        <v>1.3899999999999999E-2</v>
      </c>
      <c r="E20" s="533"/>
      <c r="F20" s="68"/>
      <c r="G20" s="91" t="s">
        <v>101</v>
      </c>
      <c r="H20" s="92"/>
      <c r="I20" s="92"/>
      <c r="J20" s="146"/>
      <c r="M20" s="74"/>
    </row>
    <row r="21" spans="1:13" ht="13.5" thickBot="1" x14ac:dyDescent="0.25">
      <c r="B21" s="75">
        <v>13</v>
      </c>
      <c r="C21" s="93" t="s">
        <v>102</v>
      </c>
      <c r="D21" s="532">
        <v>2.0000000000000001E-4</v>
      </c>
      <c r="E21" s="533"/>
      <c r="F21" s="68"/>
      <c r="G21" s="91" t="s">
        <v>103</v>
      </c>
      <c r="H21" s="92"/>
      <c r="I21" s="92"/>
      <c r="J21" s="146"/>
      <c r="M21" s="74"/>
    </row>
    <row r="22" spans="1:13" ht="13.5" thickBot="1" x14ac:dyDescent="0.25">
      <c r="B22" s="75">
        <v>14</v>
      </c>
      <c r="C22" s="76" t="s">
        <v>104</v>
      </c>
      <c r="D22" s="532">
        <v>2.8E-3</v>
      </c>
      <c r="E22" s="533"/>
      <c r="F22" s="68"/>
      <c r="G22" s="94" t="s">
        <v>105</v>
      </c>
      <c r="H22" s="95"/>
      <c r="I22" s="96"/>
      <c r="J22" s="147"/>
      <c r="M22" s="74"/>
    </row>
    <row r="23" spans="1:13" x14ac:dyDescent="0.2">
      <c r="A23" s="97"/>
      <c r="B23" s="75">
        <v>15</v>
      </c>
      <c r="C23" s="76" t="s">
        <v>106</v>
      </c>
      <c r="D23" s="532">
        <v>2.9999999999999997E-4</v>
      </c>
      <c r="E23" s="533"/>
      <c r="F23" s="68"/>
      <c r="G23" s="68"/>
      <c r="H23" s="68"/>
      <c r="I23" s="70"/>
      <c r="J23" s="70"/>
      <c r="M23" s="74"/>
    </row>
    <row r="24" spans="1:13" ht="13.5" thickBot="1" x14ac:dyDescent="0.25">
      <c r="A24" s="97"/>
      <c r="B24" s="559" t="s">
        <v>107</v>
      </c>
      <c r="C24" s="560"/>
      <c r="D24" s="561">
        <f>SUM(D17:D23)</f>
        <v>0.22932121212121212</v>
      </c>
      <c r="E24" s="562"/>
      <c r="F24" s="86"/>
      <c r="G24" s="68"/>
      <c r="H24" s="68"/>
      <c r="I24" s="70"/>
      <c r="J24" s="70"/>
      <c r="M24" s="74"/>
    </row>
    <row r="25" spans="1:13" x14ac:dyDescent="0.2">
      <c r="B25" s="551" t="s">
        <v>108</v>
      </c>
      <c r="C25" s="552"/>
      <c r="D25" s="552" t="s">
        <v>30</v>
      </c>
      <c r="E25" s="553"/>
      <c r="F25" s="86"/>
      <c r="G25" s="68"/>
      <c r="H25" s="68"/>
      <c r="I25" s="70"/>
      <c r="J25" s="70"/>
      <c r="M25" s="74"/>
    </row>
    <row r="26" spans="1:13" x14ac:dyDescent="0.2">
      <c r="B26" s="75">
        <v>16</v>
      </c>
      <c r="C26" s="93" t="s">
        <v>109</v>
      </c>
      <c r="D26" s="532">
        <v>4.1999999999999997E-3</v>
      </c>
      <c r="E26" s="533"/>
      <c r="F26" s="68"/>
      <c r="G26" s="70"/>
      <c r="H26" s="70"/>
      <c r="I26" s="148" t="s">
        <v>74</v>
      </c>
      <c r="J26" s="70"/>
      <c r="M26" s="74"/>
    </row>
    <row r="27" spans="1:13" x14ac:dyDescent="0.2">
      <c r="B27" s="75">
        <v>17</v>
      </c>
      <c r="C27" s="93" t="s">
        <v>110</v>
      </c>
      <c r="D27" s="532">
        <v>4.0000000000000002E-4</v>
      </c>
      <c r="E27" s="533"/>
      <c r="F27" s="68"/>
      <c r="M27" s="74"/>
    </row>
    <row r="28" spans="1:13" x14ac:dyDescent="0.2">
      <c r="B28" s="75">
        <v>18</v>
      </c>
      <c r="C28" s="76" t="s">
        <v>111</v>
      </c>
      <c r="D28" s="532">
        <v>8.0000000000000004E-4</v>
      </c>
      <c r="E28" s="533"/>
      <c r="F28" s="68"/>
      <c r="M28" s="74"/>
    </row>
    <row r="29" spans="1:13" x14ac:dyDescent="0.2">
      <c r="B29" s="75">
        <v>19</v>
      </c>
      <c r="C29" s="76" t="s">
        <v>112</v>
      </c>
      <c r="D29" s="532">
        <v>2.8799999999999999E-2</v>
      </c>
      <c r="E29" s="533"/>
      <c r="F29" s="68"/>
      <c r="M29" s="74"/>
    </row>
    <row r="30" spans="1:13" ht="13.5" thickBot="1" x14ac:dyDescent="0.25">
      <c r="B30" s="559" t="s">
        <v>113</v>
      </c>
      <c r="C30" s="560"/>
      <c r="D30" s="561">
        <f>SUM(D26:D29)</f>
        <v>3.4200000000000001E-2</v>
      </c>
      <c r="E30" s="562"/>
      <c r="F30" s="68"/>
      <c r="M30" s="74"/>
    </row>
    <row r="31" spans="1:13" x14ac:dyDescent="0.2">
      <c r="B31" s="551" t="s">
        <v>114</v>
      </c>
      <c r="C31" s="552"/>
      <c r="D31" s="552" t="s">
        <v>30</v>
      </c>
      <c r="E31" s="553"/>
      <c r="F31" s="68"/>
      <c r="G31" s="98"/>
      <c r="M31" s="74"/>
    </row>
    <row r="32" spans="1:13" x14ac:dyDescent="0.2">
      <c r="B32" s="75">
        <v>20</v>
      </c>
      <c r="C32" s="93" t="s">
        <v>45</v>
      </c>
      <c r="D32" s="532">
        <f>D15*(D24-D19)</f>
        <v>7.9209236363636373E-2</v>
      </c>
      <c r="E32" s="533"/>
      <c r="F32" s="68"/>
      <c r="G32" s="98"/>
      <c r="M32" s="74"/>
    </row>
    <row r="33" spans="1:13" ht="13.5" thickBot="1" x14ac:dyDescent="0.25">
      <c r="B33" s="567" t="s">
        <v>115</v>
      </c>
      <c r="C33" s="568"/>
      <c r="D33" s="569">
        <f>SUM(D32)</f>
        <v>7.9209236363636373E-2</v>
      </c>
      <c r="E33" s="570"/>
      <c r="F33" s="68"/>
      <c r="M33" s="74"/>
    </row>
    <row r="34" spans="1:13" ht="13.5" customHeight="1" thickBot="1" x14ac:dyDescent="0.25">
      <c r="B34" s="571" t="s">
        <v>116</v>
      </c>
      <c r="C34" s="572"/>
      <c r="D34" s="573"/>
      <c r="E34" s="99">
        <f>(D15+D24+D30+D33)</f>
        <v>0.74073044848484859</v>
      </c>
      <c r="F34" s="68"/>
      <c r="M34" s="74"/>
    </row>
    <row r="35" spans="1:13" x14ac:dyDescent="0.2">
      <c r="B35" s="68" t="s">
        <v>117</v>
      </c>
      <c r="C35" s="68"/>
      <c r="D35" s="68"/>
      <c r="E35" s="68"/>
      <c r="F35" s="68"/>
      <c r="M35" s="74"/>
    </row>
    <row r="36" spans="1:13" x14ac:dyDescent="0.2">
      <c r="A36" s="100"/>
      <c r="B36" s="68" t="s">
        <v>46</v>
      </c>
      <c r="C36" s="68"/>
      <c r="D36" s="68"/>
      <c r="E36" s="68"/>
      <c r="F36" s="68"/>
      <c r="M36" s="74"/>
    </row>
    <row r="37" spans="1:13" x14ac:dyDescent="0.2">
      <c r="A37" s="100"/>
      <c r="M37" s="74"/>
    </row>
    <row r="38" spans="1:13" x14ac:dyDescent="0.2">
      <c r="A38" s="100"/>
      <c r="M38" s="74"/>
    </row>
    <row r="39" spans="1:13" x14ac:dyDescent="0.2">
      <c r="A39" s="100"/>
      <c r="M39" s="74"/>
    </row>
    <row r="40" spans="1:13" x14ac:dyDescent="0.2">
      <c r="A40" s="100"/>
      <c r="M40" s="74"/>
    </row>
    <row r="41" spans="1:13" x14ac:dyDescent="0.2">
      <c r="A41" s="100"/>
      <c r="C41" s="100"/>
      <c r="M41" s="74"/>
    </row>
    <row r="42" spans="1:13" x14ac:dyDescent="0.2">
      <c r="A42" s="100"/>
      <c r="M42" s="74"/>
    </row>
    <row r="43" spans="1:13" x14ac:dyDescent="0.2">
      <c r="A43" s="100"/>
      <c r="M43" s="74"/>
    </row>
    <row r="44" spans="1:13" ht="13.5" customHeight="1" x14ac:dyDescent="0.2">
      <c r="A44" s="100"/>
      <c r="M44" s="74"/>
    </row>
    <row r="45" spans="1:13" x14ac:dyDescent="0.2">
      <c r="M45" s="74"/>
    </row>
    <row r="46" spans="1:13" x14ac:dyDescent="0.2">
      <c r="M46" s="74"/>
    </row>
    <row r="47" spans="1:13" x14ac:dyDescent="0.2">
      <c r="M47" s="74"/>
    </row>
    <row r="48" spans="1:13" x14ac:dyDescent="0.2">
      <c r="M48" s="74"/>
    </row>
    <row r="49" spans="13:13" x14ac:dyDescent="0.2">
      <c r="M49" s="74"/>
    </row>
    <row r="50" spans="13:13" x14ac:dyDescent="0.2">
      <c r="M50" s="74"/>
    </row>
    <row r="51" spans="13:13" x14ac:dyDescent="0.2">
      <c r="M51" s="74"/>
    </row>
    <row r="52" spans="13:13" x14ac:dyDescent="0.2">
      <c r="M52" s="74"/>
    </row>
    <row r="53" spans="13:13" x14ac:dyDescent="0.2">
      <c r="M53" s="74"/>
    </row>
    <row r="54" spans="13:13" x14ac:dyDescent="0.2">
      <c r="M54" s="74"/>
    </row>
    <row r="55" spans="13:13" x14ac:dyDescent="0.2">
      <c r="M55" s="74"/>
    </row>
    <row r="56" spans="13:13" x14ac:dyDescent="0.2">
      <c r="M56" s="74"/>
    </row>
    <row r="57" spans="13:13" x14ac:dyDescent="0.2">
      <c r="M57" s="74"/>
    </row>
    <row r="58" spans="13:13" x14ac:dyDescent="0.2">
      <c r="M58" s="74"/>
    </row>
    <row r="59" spans="13:13" x14ac:dyDescent="0.2">
      <c r="M59" s="74"/>
    </row>
    <row r="60" spans="13:13" x14ac:dyDescent="0.2">
      <c r="M60" s="74"/>
    </row>
    <row r="61" spans="13:13" x14ac:dyDescent="0.2">
      <c r="M61" s="74"/>
    </row>
    <row r="62" spans="13:13" x14ac:dyDescent="0.2">
      <c r="M62" s="74"/>
    </row>
    <row r="63" spans="13:13" x14ac:dyDescent="0.2">
      <c r="M63" s="74"/>
    </row>
    <row r="64" spans="13:13" x14ac:dyDescent="0.2">
      <c r="M64" s="74"/>
    </row>
    <row r="65" spans="13:13" x14ac:dyDescent="0.2">
      <c r="M65" s="74"/>
    </row>
    <row r="66" spans="13:13" x14ac:dyDescent="0.2">
      <c r="M66" s="74"/>
    </row>
    <row r="67" spans="13:13" x14ac:dyDescent="0.2">
      <c r="M67" s="74"/>
    </row>
    <row r="68" spans="13:13" x14ac:dyDescent="0.2">
      <c r="M68" s="74"/>
    </row>
    <row r="69" spans="13:13" x14ac:dyDescent="0.2">
      <c r="M69" s="74"/>
    </row>
    <row r="70" spans="13:13" x14ac:dyDescent="0.2">
      <c r="M70" s="74"/>
    </row>
    <row r="71" spans="13:13" x14ac:dyDescent="0.2">
      <c r="M71" s="74"/>
    </row>
    <row r="72" spans="13:13" x14ac:dyDescent="0.2">
      <c r="M72" s="74"/>
    </row>
    <row r="73" spans="13:13" x14ac:dyDescent="0.2">
      <c r="M73" s="74"/>
    </row>
    <row r="74" spans="13:13" x14ac:dyDescent="0.2">
      <c r="M74" s="74"/>
    </row>
  </sheetData>
  <mergeCells count="50">
    <mergeCell ref="B33:C33"/>
    <mergeCell ref="D33:E33"/>
    <mergeCell ref="B34:D34"/>
    <mergeCell ref="D27:E27"/>
    <mergeCell ref="D28:E28"/>
    <mergeCell ref="D29:E29"/>
    <mergeCell ref="B30:C30"/>
    <mergeCell ref="D30:E30"/>
    <mergeCell ref="B31:C31"/>
    <mergeCell ref="D31:E31"/>
    <mergeCell ref="B24:C24"/>
    <mergeCell ref="D24:E24"/>
    <mergeCell ref="B25:C25"/>
    <mergeCell ref="D25:E25"/>
    <mergeCell ref="D32:E32"/>
    <mergeCell ref="D26:E26"/>
    <mergeCell ref="D22:E22"/>
    <mergeCell ref="D23:E23"/>
    <mergeCell ref="G14:I14"/>
    <mergeCell ref="B15:C15"/>
    <mergeCell ref="D15:E15"/>
    <mergeCell ref="G15:H15"/>
    <mergeCell ref="B16:C16"/>
    <mergeCell ref="D16:E16"/>
    <mergeCell ref="D14:E14"/>
    <mergeCell ref="D17:E17"/>
    <mergeCell ref="D18:E18"/>
    <mergeCell ref="D19:E19"/>
    <mergeCell ref="D20:E20"/>
    <mergeCell ref="D21:E21"/>
    <mergeCell ref="D9:E9"/>
    <mergeCell ref="D10:E10"/>
    <mergeCell ref="D11:E11"/>
    <mergeCell ref="D12:E12"/>
    <mergeCell ref="D13:E13"/>
    <mergeCell ref="D8:E8"/>
    <mergeCell ref="G8:H8"/>
    <mergeCell ref="B2:E2"/>
    <mergeCell ref="B3:E3"/>
    <mergeCell ref="G3:J3"/>
    <mergeCell ref="B4:B5"/>
    <mergeCell ref="C4:C5"/>
    <mergeCell ref="D4:E4"/>
    <mergeCell ref="G4:I5"/>
    <mergeCell ref="J4:J5"/>
    <mergeCell ref="B6:C6"/>
    <mergeCell ref="D6:E6"/>
    <mergeCell ref="G6:I6"/>
    <mergeCell ref="D7:E7"/>
    <mergeCell ref="G7:H7"/>
  </mergeCells>
  <pageMargins left="0.78740157480314965" right="0.78740157480314965" top="0.98425196850393704" bottom="0.98425196850393704" header="0.51181102362204722" footer="0.51181102362204722"/>
  <pageSetup paperSize="9" scale="64" orientation="landscape" verticalDpi="30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7</vt:i4>
      </vt:variant>
    </vt:vector>
  </HeadingPairs>
  <TitlesOfParts>
    <vt:vector size="15" baseType="lpstr">
      <vt:lpstr>PlanilhaConsolidada</vt:lpstr>
      <vt:lpstr>HORAS,VT,Vl</vt:lpstr>
      <vt:lpstr>Encargos Sociais</vt:lpstr>
      <vt:lpstr>ANEXO A - Uniformes</vt:lpstr>
      <vt:lpstr>ANEXO B - EPI</vt:lpstr>
      <vt:lpstr>ANEXO C - Equipamentos</vt:lpstr>
      <vt:lpstr>Cálculo Cobertura</vt:lpstr>
      <vt:lpstr>Anexo IIE - Encargos 2º ano</vt:lpstr>
      <vt:lpstr>'ANEXO A - Uniformes'!Area_de_impressao</vt:lpstr>
      <vt:lpstr>'ANEXO B - EPI'!Area_de_impressao</vt:lpstr>
      <vt:lpstr>'ANEXO C - Equipamentos'!Area_de_impressao</vt:lpstr>
      <vt:lpstr>'Anexo IIE - Encargos 2º ano'!Area_de_impressao</vt:lpstr>
      <vt:lpstr>'Cálculo Cobertura'!Area_de_impressao</vt:lpstr>
      <vt:lpstr>'HORAS,VT,Vl'!Area_de_impressao</vt:lpstr>
      <vt:lpstr>PlanilhaConsolidada!Area_de_impressao</vt:lpstr>
    </vt:vector>
  </TitlesOfParts>
  <Company>Supremo Tribunal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Cezar Augusto Barros Gadelha</cp:lastModifiedBy>
  <cp:lastPrinted>2020-05-25T19:36:19Z</cp:lastPrinted>
  <dcterms:created xsi:type="dcterms:W3CDTF">2016-06-22T18:10:46Z</dcterms:created>
  <dcterms:modified xsi:type="dcterms:W3CDTF">2022-11-17T19:06:49Z</dcterms:modified>
</cp:coreProperties>
</file>